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3"/>
  </bookViews>
  <sheets>
    <sheet name="Ingresos X Sección" sheetId="1" r:id="rId1"/>
    <sheet name="Ingresos totales" sheetId="2" r:id="rId2"/>
    <sheet name="Egresos X Sección" sheetId="3" r:id="rId3"/>
    <sheet name="Egresos totales" sheetId="4" r:id="rId4"/>
  </sheets>
  <definedNames>
    <definedName name="_xlnm.Print_Area" localSheetId="0">'Ingresos X Sección'!$A$1:$G$74</definedName>
    <definedName name="_xlnm.Print_Titles" localSheetId="2">'Egresos X Sección'!$1:$6</definedName>
    <definedName name="_xlnm.Print_Titles" localSheetId="0">'Ingresos X Sección'!$1:$6</definedName>
  </definedNames>
  <calcPr fullCalcOnLoad="1"/>
</workbook>
</file>

<file path=xl/sharedStrings.xml><?xml version="1.0" encoding="utf-8"?>
<sst xmlns="http://schemas.openxmlformats.org/spreadsheetml/2006/main" count="218" uniqueCount="106">
  <si>
    <t>Universidad de Costa Rica</t>
  </si>
  <si>
    <t>Vicerrectoría de Administración</t>
  </si>
  <si>
    <t>Oficina de Administración Financiera</t>
  </si>
  <si>
    <t>Presupuesto</t>
  </si>
  <si>
    <t>Ingreso</t>
  </si>
  <si>
    <t>Diferencia</t>
  </si>
  <si>
    <t>Otros Ingresos Tributarios</t>
  </si>
  <si>
    <t xml:space="preserve">Indemnizaciones </t>
  </si>
  <si>
    <t>***</t>
  </si>
  <si>
    <t>Venta de Bienes y Servicios:</t>
  </si>
  <si>
    <t>Ingresos de la Propiedad</t>
  </si>
  <si>
    <t>Multas y Remates</t>
  </si>
  <si>
    <t>Otros Ingresos No Tributarios</t>
  </si>
  <si>
    <t>Transferencias Corrientes del Gobierno</t>
  </si>
  <si>
    <t>Transf. Inst. Descent. No Empresariales</t>
  </si>
  <si>
    <t>Transferencias Corrientes Sector Privado</t>
  </si>
  <si>
    <t>Ingresos de Financiamiento</t>
  </si>
  <si>
    <t>Empresas Auxiliares</t>
  </si>
  <si>
    <t>Fondo Préstamos</t>
  </si>
  <si>
    <t>Ingresos de Capital:</t>
  </si>
  <si>
    <t>Fondos Restringidos</t>
  </si>
  <si>
    <t>Impuestos sobre Bienes y Servicios</t>
  </si>
  <si>
    <t>Otros Ingresos no Tributarios</t>
  </si>
  <si>
    <t xml:space="preserve"> </t>
  </si>
  <si>
    <t>Transferencias Corrientes Sector Externo</t>
  </si>
  <si>
    <t>Transferencias Corrientes Organos Desconcentrados</t>
  </si>
  <si>
    <t>Ingresos de Capital</t>
  </si>
  <si>
    <t>Ingresos de Financiamiento (FR Leyes-Convenios)</t>
  </si>
  <si>
    <t>Cursos Especiales</t>
  </si>
  <si>
    <t xml:space="preserve">Ingresos de Financiamiento </t>
  </si>
  <si>
    <t>Fondos Intraproyectos</t>
  </si>
  <si>
    <t>Fondos del Sistema (CONARE)</t>
  </si>
  <si>
    <t>Transferencias Corrientes del Gobierno Central</t>
  </si>
  <si>
    <t>Transferencias FundaciónUCR</t>
  </si>
  <si>
    <t>Total General de Ingresos</t>
  </si>
  <si>
    <t>Derechos y Tasas Administrativos</t>
  </si>
  <si>
    <t>Venta de Bienes y Servicios</t>
  </si>
  <si>
    <t xml:space="preserve">Ingresos de la Propiedad </t>
  </si>
  <si>
    <t xml:space="preserve">Total </t>
  </si>
  <si>
    <t>Recaudación  de Ingresos por Sección y Partida Presupuestaria al 31 de diciembre de 2022 (expresado en colones)</t>
  </si>
  <si>
    <t>SECCIÓN</t>
  </si>
  <si>
    <t>DESCRIPCIÓN</t>
  </si>
  <si>
    <t>PRESUPUESTO</t>
  </si>
  <si>
    <t>INGRESADO DEL PERIODO</t>
  </si>
  <si>
    <t>Fondos Corrientes</t>
  </si>
  <si>
    <t>Progr. Posgrado Financ. Complem.</t>
  </si>
  <si>
    <t>Ejecución</t>
  </si>
  <si>
    <t>CUENTA DE INGRESO</t>
  </si>
  <si>
    <t>TOTAL POR INGRESAR</t>
  </si>
  <si>
    <t>RECAUDACIÓN</t>
  </si>
  <si>
    <t>01</t>
  </si>
  <si>
    <t>IMPUESTOS SOBRE BIENES Y SERVICIOS</t>
  </si>
  <si>
    <t>02</t>
  </si>
  <si>
    <t>OTROS INGRESOS TRIBUTARIOS</t>
  </si>
  <si>
    <t>03</t>
  </si>
  <si>
    <t>INDEMNIZACIONES</t>
  </si>
  <si>
    <t>04</t>
  </si>
  <si>
    <t>VENTA DE BIENES Y SERVICIOS</t>
  </si>
  <si>
    <t>05</t>
  </si>
  <si>
    <t>INGRESOS A LA PROPIEDAD</t>
  </si>
  <si>
    <t>06</t>
  </si>
  <si>
    <t>DERECHOS Y TASAS ADMINISTRATIVAS</t>
  </si>
  <si>
    <t>07</t>
  </si>
  <si>
    <t>MULTAS Y REMATES</t>
  </si>
  <si>
    <t>08</t>
  </si>
  <si>
    <t>OTROS INGRESOS NO TRIBUTARIOS</t>
  </si>
  <si>
    <t>09</t>
  </si>
  <si>
    <t>TRANSFERENCIAS CORRIENTES DEL GOBIERNO</t>
  </si>
  <si>
    <t>INSTIT. DESCENTRALIZADAS NO EMPRESARIALES</t>
  </si>
  <si>
    <t>TRANSF. CORRIENTES SECTOR EXTERNO</t>
  </si>
  <si>
    <t>TRANSF. CORRIENTES SECTOR PRIVADO</t>
  </si>
  <si>
    <t>INGRESOS DE CAPITAL</t>
  </si>
  <si>
    <t>INGRESOS DE FINANCIAMIENTO</t>
  </si>
  <si>
    <t>INGRESOS DE FINANCIAMIENTO  (LEYES Y CONVENIOS)</t>
  </si>
  <si>
    <t xml:space="preserve">TOTAL GENERAL </t>
  </si>
  <si>
    <t>Consolidado Total de Ingresos al 31 de diciembre de 2022 (expresado en colones)</t>
  </si>
  <si>
    <t>TRANSF. CORRIENTES ORGANOS DESCONCENTRADOS</t>
  </si>
  <si>
    <t>GIRADO PERIODO</t>
  </si>
  <si>
    <t>COMPROMISOS</t>
  </si>
  <si>
    <t>DISPONIBLE</t>
  </si>
  <si>
    <t>EJECUCIÓN CON COMPROMISOS</t>
  </si>
  <si>
    <t>FONDOS CORRIENTES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</si>
  <si>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</si>
  <si>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</si>
  <si>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</si>
  <si>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</si>
  <si>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</si>
  <si>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</si>
  <si>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 xml:space="preserve">CUENTAS ESPECIALES </t>
  </si>
  <si>
    <t>TOTAL</t>
  </si>
  <si>
    <t>EMPRESAS AUXILIARES</t>
  </si>
  <si>
    <t>PLANTA FISICA</t>
  </si>
  <si>
    <t>AMORTIZACION</t>
  </si>
  <si>
    <t>FONDO DE PRÉSTAMOS</t>
  </si>
  <si>
    <t>ACTIVOS FINANCIEROS</t>
  </si>
  <si>
    <t>FONDOS RESTRINGIDOS</t>
  </si>
  <si>
    <t>CURSOS ESPECIALES</t>
  </si>
  <si>
    <t>PROG. POSGRADO FINANCIAM. COMPLEM.</t>
  </si>
  <si>
    <t>FONDOS INTRAPROYECTOS</t>
  </si>
  <si>
    <t>FONDOS DEL SISTEMA (CONARE)</t>
  </si>
  <si>
    <t>TOTAL GENERAL</t>
  </si>
  <si>
    <t>OBJETO DE GASTO</t>
  </si>
  <si>
    <t>Ejecución de Egresos por Sección y Partida Presupuestaria al 31 de diciembre de 2022  (expresado en colones)</t>
  </si>
  <si>
    <t>Consolidado Ejecución de Egresos al 31 de diciembre de 2022  (expresado en colones)</t>
  </si>
  <si>
    <t>AMORTIZACIÓN</t>
  </si>
  <si>
    <t>TRANSFERENCIAS FUNDACIÓN-UCR</t>
  </si>
</sst>
</file>

<file path=xl/styles.xml><?xml version="1.0" encoding="utf-8"?>
<styleSheet xmlns="http://schemas.openxmlformats.org/spreadsheetml/2006/main">
  <numFmts count="9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.00\ 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" fillId="0" borderId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21" fillId="0" borderId="0" xfId="53" applyFont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5" fillId="0" borderId="0" xfId="52" applyFont="1" applyAlignment="1">
      <alignment vertical="top"/>
      <protection/>
    </xf>
    <xf numFmtId="0" fontId="25" fillId="0" borderId="0" xfId="52" applyFont="1" applyBorder="1" applyAlignment="1">
      <alignment horizontal="center" vertical="top"/>
      <protection/>
    </xf>
    <xf numFmtId="0" fontId="25" fillId="0" borderId="0" xfId="52" applyFont="1" applyBorder="1" applyAlignment="1">
      <alignment horizontal="justify" vertical="top"/>
      <protection/>
    </xf>
    <xf numFmtId="0" fontId="24" fillId="0" borderId="0" xfId="52" applyFont="1" applyBorder="1" applyAlignment="1">
      <alignment horizontal="justify" vertical="top"/>
      <protection/>
    </xf>
    <xf numFmtId="0" fontId="25" fillId="0" borderId="0" xfId="52" applyFont="1" applyAlignment="1">
      <alignment horizontal="center" vertical="top"/>
      <protection/>
    </xf>
    <xf numFmtId="0" fontId="25" fillId="0" borderId="0" xfId="52" applyFont="1" applyAlignment="1">
      <alignment horizontal="justify" vertical="top"/>
      <protection/>
    </xf>
    <xf numFmtId="4" fontId="25" fillId="0" borderId="0" xfId="52" applyNumberFormat="1" applyFont="1" applyAlignment="1">
      <alignment vertical="top"/>
      <protection/>
    </xf>
    <xf numFmtId="10" fontId="25" fillId="0" borderId="0" xfId="52" applyNumberFormat="1" applyFont="1" applyAlignment="1">
      <alignment horizontal="center" vertical="top"/>
      <protection/>
    </xf>
    <xf numFmtId="0" fontId="27" fillId="8" borderId="10" xfId="0" applyFont="1" applyFill="1" applyBorder="1" applyAlignment="1">
      <alignment vertical="center"/>
    </xf>
    <xf numFmtId="0" fontId="24" fillId="0" borderId="0" xfId="53" applyFont="1" applyAlignment="1">
      <alignment horizontal="center" vertical="top"/>
    </xf>
    <xf numFmtId="0" fontId="25" fillId="0" borderId="0" xfId="52" applyFont="1" applyAlignment="1">
      <alignment horizontal="center" vertical="center" wrapText="1"/>
      <protection/>
    </xf>
    <xf numFmtId="0" fontId="27" fillId="8" borderId="10" xfId="0" applyFont="1" applyFill="1" applyBorder="1" applyAlignment="1">
      <alignment horizontal="left" vertical="center"/>
    </xf>
    <xf numFmtId="0" fontId="27" fillId="8" borderId="10" xfId="0" applyFont="1" applyFill="1" applyBorder="1" applyAlignment="1">
      <alignment horizontal="left" vertical="center"/>
    </xf>
    <xf numFmtId="4" fontId="27" fillId="8" borderId="10" xfId="0" applyNumberFormat="1" applyFont="1" applyFill="1" applyBorder="1" applyAlignment="1">
      <alignment horizontal="right" vertical="center"/>
    </xf>
    <xf numFmtId="10" fontId="27" fillId="8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/>
    </xf>
    <xf numFmtId="4" fontId="24" fillId="33" borderId="0" xfId="0" applyNumberFormat="1" applyFont="1" applyFill="1" applyAlignment="1">
      <alignment vertical="center"/>
    </xf>
    <xf numFmtId="10" fontId="24" fillId="33" borderId="0" xfId="55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4" fontId="25" fillId="33" borderId="0" xfId="0" applyNumberFormat="1" applyFont="1" applyFill="1" applyAlignment="1">
      <alignment horizontal="right" vertical="center"/>
    </xf>
    <xf numFmtId="1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" fontId="25" fillId="33" borderId="11" xfId="0" applyNumberFormat="1" applyFont="1" applyFill="1" applyBorder="1" applyAlignment="1">
      <alignment horizontal="right" vertical="center"/>
    </xf>
    <xf numFmtId="10" fontId="25" fillId="33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24" fillId="8" borderId="11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vertical="center"/>
    </xf>
    <xf numFmtId="4" fontId="24" fillId="8" borderId="11" xfId="52" applyNumberFormat="1" applyFont="1" applyFill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top"/>
    </xf>
    <xf numFmtId="0" fontId="19" fillId="0" borderId="0" xfId="53" applyFont="1" applyAlignment="1">
      <alignment vertical="top"/>
    </xf>
    <xf numFmtId="0" fontId="50" fillId="0" borderId="0" xfId="0" applyFont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27" fillId="8" borderId="12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vertical="center"/>
    </xf>
    <xf numFmtId="4" fontId="28" fillId="33" borderId="15" xfId="0" applyNumberFormat="1" applyFont="1" applyFill="1" applyBorder="1" applyAlignment="1">
      <alignment horizontal="right" vertical="center"/>
    </xf>
    <xf numFmtId="10" fontId="28" fillId="33" borderId="16" xfId="0" applyNumberFormat="1" applyFont="1" applyFill="1" applyBorder="1" applyAlignment="1">
      <alignment horizontal="center" vertical="center"/>
    </xf>
    <xf numFmtId="49" fontId="28" fillId="33" borderId="17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vertical="center"/>
    </xf>
    <xf numFmtId="4" fontId="28" fillId="33" borderId="0" xfId="0" applyNumberFormat="1" applyFont="1" applyFill="1" applyAlignment="1">
      <alignment horizontal="right" vertical="center"/>
    </xf>
    <xf numFmtId="10" fontId="28" fillId="33" borderId="18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0" fontId="19" fillId="8" borderId="12" xfId="0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10" fontId="19" fillId="8" borderId="13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21" fillId="8" borderId="12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4" fontId="21" fillId="8" borderId="10" xfId="0" applyNumberFormat="1" applyFont="1" applyFill="1" applyBorder="1" applyAlignment="1">
      <alignment horizontal="right" vertical="center"/>
    </xf>
    <xf numFmtId="10" fontId="21" fillId="8" borderId="13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1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10" fontId="52" fillId="0" borderId="0" xfId="55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3" fillId="8" borderId="10" xfId="0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5" fillId="33" borderId="0" xfId="0" applyFont="1" applyFill="1" applyAlignment="1">
      <alignment vertical="center"/>
    </xf>
    <xf numFmtId="4" fontId="25" fillId="33" borderId="0" xfId="0" applyNumberFormat="1" applyFont="1" applyFill="1" applyAlignment="1">
      <alignment vertical="center"/>
    </xf>
    <xf numFmtId="10" fontId="24" fillId="33" borderId="0" xfId="0" applyNumberFormat="1" applyFont="1" applyFill="1" applyAlignment="1">
      <alignment horizontal="center" vertical="center"/>
    </xf>
    <xf numFmtId="4" fontId="27" fillId="8" borderId="1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8" borderId="12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/>
    </xf>
    <xf numFmtId="0" fontId="55" fillId="8" borderId="13" xfId="0" applyFont="1" applyFill="1" applyBorder="1" applyAlignment="1">
      <alignment horizontal="center" vertical="center" wrapText="1"/>
    </xf>
    <xf numFmtId="10" fontId="28" fillId="0" borderId="0" xfId="55" applyNumberFormat="1" applyFont="1" applyAlignment="1">
      <alignment/>
    </xf>
    <xf numFmtId="9" fontId="28" fillId="0" borderId="0" xfId="55" applyFont="1" applyAlignment="1">
      <alignment/>
    </xf>
    <xf numFmtId="4" fontId="19" fillId="8" borderId="10" xfId="0" applyNumberFormat="1" applyFont="1" applyFill="1" applyBorder="1" applyAlignment="1">
      <alignment vertical="center"/>
    </xf>
    <xf numFmtId="10" fontId="28" fillId="0" borderId="0" xfId="55" applyNumberFormat="1" applyFont="1" applyBorder="1" applyAlignment="1">
      <alignment/>
    </xf>
    <xf numFmtId="9" fontId="28" fillId="0" borderId="0" xfId="55" applyFont="1" applyBorder="1" applyAlignment="1">
      <alignment/>
    </xf>
    <xf numFmtId="0" fontId="18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4" fontId="25" fillId="33" borderId="11" xfId="0" applyNumberFormat="1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2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1" width="3.7109375" style="8" customWidth="1"/>
    <col min="2" max="2" width="14.00390625" style="8" customWidth="1"/>
    <col min="3" max="3" width="34.140625" style="4" bestFit="1" customWidth="1"/>
    <col min="4" max="5" width="13.421875" style="10" bestFit="1" customWidth="1"/>
    <col min="6" max="6" width="13.140625" style="10" bestFit="1" customWidth="1"/>
    <col min="7" max="7" width="6.8515625" style="11" bestFit="1" customWidth="1"/>
    <col min="8" max="229" width="11.57421875" style="4" customWidth="1"/>
    <col min="230" max="230" width="9.421875" style="4" bestFit="1" customWidth="1"/>
    <col min="231" max="231" width="41.421875" style="4" customWidth="1"/>
    <col min="232" max="232" width="1.421875" style="4" customWidth="1"/>
    <col min="233" max="233" width="18.57421875" style="4" bestFit="1" customWidth="1"/>
    <col min="234" max="234" width="1.421875" style="4" customWidth="1"/>
    <col min="235" max="235" width="18.57421875" style="4" bestFit="1" customWidth="1"/>
    <col min="236" max="236" width="1.57421875" style="4" customWidth="1"/>
    <col min="237" max="237" width="18.57421875" style="4" bestFit="1" customWidth="1"/>
    <col min="238" max="238" width="2.00390625" style="4" customWidth="1"/>
    <col min="239" max="239" width="12.57421875" style="4" bestFit="1" customWidth="1"/>
    <col min="240" max="16384" width="11.57421875" style="4" customWidth="1"/>
  </cols>
  <sheetData>
    <row r="1" spans="1:7" ht="12">
      <c r="A1" s="1" t="s">
        <v>0</v>
      </c>
      <c r="B1" s="1"/>
      <c r="C1" s="1"/>
      <c r="D1" s="1"/>
      <c r="E1" s="1"/>
      <c r="F1" s="1"/>
      <c r="G1" s="1"/>
    </row>
    <row r="2" spans="1:7" ht="12">
      <c r="A2" s="1" t="s">
        <v>1</v>
      </c>
      <c r="B2" s="1"/>
      <c r="C2" s="1"/>
      <c r="D2" s="1"/>
      <c r="E2" s="1"/>
      <c r="F2" s="1"/>
      <c r="G2" s="1"/>
    </row>
    <row r="3" spans="1:7" ht="12">
      <c r="A3" s="1" t="s">
        <v>2</v>
      </c>
      <c r="B3" s="1"/>
      <c r="C3" s="1"/>
      <c r="D3" s="1"/>
      <c r="E3" s="1"/>
      <c r="F3" s="1"/>
      <c r="G3" s="1"/>
    </row>
    <row r="4" spans="1:7" ht="7.5" customHeight="1">
      <c r="A4" s="13"/>
      <c r="B4" s="13"/>
      <c r="C4" s="13"/>
      <c r="D4" s="13"/>
      <c r="E4" s="13"/>
      <c r="F4" s="13"/>
      <c r="G4" s="13"/>
    </row>
    <row r="5" spans="1:7" ht="18.75" customHeight="1">
      <c r="A5" s="2" t="s">
        <v>39</v>
      </c>
      <c r="B5" s="2"/>
      <c r="C5" s="2"/>
      <c r="D5" s="2"/>
      <c r="E5" s="2"/>
      <c r="F5" s="2"/>
      <c r="G5" s="2"/>
    </row>
    <row r="6" spans="1:7" s="14" customFormat="1" ht="25.5" customHeight="1">
      <c r="A6" s="34" t="s">
        <v>40</v>
      </c>
      <c r="B6" s="34"/>
      <c r="C6" s="35"/>
      <c r="D6" s="36" t="s">
        <v>3</v>
      </c>
      <c r="E6" s="36" t="s">
        <v>4</v>
      </c>
      <c r="F6" s="36" t="s">
        <v>5</v>
      </c>
      <c r="G6" s="36" t="s">
        <v>46</v>
      </c>
    </row>
    <row r="7" spans="1:7" ht="9">
      <c r="A7" s="32">
        <v>1</v>
      </c>
      <c r="B7" s="32" t="s">
        <v>44</v>
      </c>
      <c r="C7" s="26" t="s">
        <v>6</v>
      </c>
      <c r="D7" s="27">
        <f>150000000+650000</f>
        <v>150650000</v>
      </c>
      <c r="E7" s="27">
        <f>144780327.43+331267.95</f>
        <v>145111595.38</v>
      </c>
      <c r="F7" s="27">
        <f>SUM(D7-E7)</f>
        <v>5538404.620000005</v>
      </c>
      <c r="G7" s="28">
        <f>E7/D7</f>
        <v>0.9632366105542648</v>
      </c>
    </row>
    <row r="8" spans="1:7" ht="9">
      <c r="A8" s="19"/>
      <c r="B8" s="3"/>
      <c r="C8" s="26" t="s">
        <v>7</v>
      </c>
      <c r="D8" s="27">
        <v>0</v>
      </c>
      <c r="E8" s="27">
        <v>2000759.5</v>
      </c>
      <c r="F8" s="27">
        <f>SUM(D8-E8)</f>
        <v>-2000759.5</v>
      </c>
      <c r="G8" s="28" t="s">
        <v>8</v>
      </c>
    </row>
    <row r="9" spans="1:7" ht="9">
      <c r="A9" s="29"/>
      <c r="B9" s="3"/>
      <c r="C9" s="26" t="s">
        <v>36</v>
      </c>
      <c r="D9" s="27">
        <v>695782650</v>
      </c>
      <c r="E9" s="27">
        <v>562288122.25</v>
      </c>
      <c r="F9" s="27">
        <v>133494527.75000006</v>
      </c>
      <c r="G9" s="28">
        <v>0.8081376019508391</v>
      </c>
    </row>
    <row r="10" spans="1:7" ht="9">
      <c r="A10" s="29"/>
      <c r="B10" s="3"/>
      <c r="C10" s="26" t="s">
        <v>35</v>
      </c>
      <c r="D10" s="27">
        <v>5013130720</v>
      </c>
      <c r="E10" s="27">
        <v>5178805852</v>
      </c>
      <c r="F10" s="27">
        <f>D10-E10</f>
        <v>-165675132</v>
      </c>
      <c r="G10" s="28">
        <f>E10/D10</f>
        <v>1.0330482369707685</v>
      </c>
    </row>
    <row r="11" spans="1:7" ht="9">
      <c r="A11" s="29"/>
      <c r="B11" s="3"/>
      <c r="C11" s="26" t="s">
        <v>10</v>
      </c>
      <c r="D11" s="27">
        <v>2167900000</v>
      </c>
      <c r="E11" s="27">
        <v>2881080463.65</v>
      </c>
      <c r="F11" s="27">
        <f>D11-E11</f>
        <v>-713180463.6500001</v>
      </c>
      <c r="G11" s="28">
        <f>E11/D11</f>
        <v>1.3289729524655196</v>
      </c>
    </row>
    <row r="12" spans="1:7" ht="9">
      <c r="A12" s="29"/>
      <c r="B12" s="3"/>
      <c r="C12" s="26" t="s">
        <v>11</v>
      </c>
      <c r="D12" s="27">
        <v>51000000</v>
      </c>
      <c r="E12" s="27">
        <v>358255165</v>
      </c>
      <c r="F12" s="27">
        <f>D12-E12</f>
        <v>-307255165</v>
      </c>
      <c r="G12" s="28">
        <f>E12/D12</f>
        <v>7.024611078431373</v>
      </c>
    </row>
    <row r="13" spans="1:7" ht="9">
      <c r="A13" s="29"/>
      <c r="B13" s="3"/>
      <c r="C13" s="26" t="s">
        <v>12</v>
      </c>
      <c r="D13" s="27">
        <v>116500000</v>
      </c>
      <c r="E13" s="27">
        <v>298438551.2</v>
      </c>
      <c r="F13" s="27">
        <f>D13-E13</f>
        <v>-181938551.2</v>
      </c>
      <c r="G13" s="28">
        <f>E13/D13</f>
        <v>2.5617043021459227</v>
      </c>
    </row>
    <row r="14" spans="1:7" ht="9">
      <c r="A14" s="29"/>
      <c r="B14" s="3"/>
      <c r="C14" s="26" t="s">
        <v>13</v>
      </c>
      <c r="D14" s="27">
        <f>279710139700+1829569240</f>
        <v>281539708940</v>
      </c>
      <c r="E14" s="27">
        <f>279710139699+1829569240</f>
        <v>281539708939</v>
      </c>
      <c r="F14" s="27">
        <f>SUM(D14-E14)</f>
        <v>1</v>
      </c>
      <c r="G14" s="28">
        <f>E14/D14</f>
        <v>0.9999999999964481</v>
      </c>
    </row>
    <row r="15" spans="1:7" ht="9">
      <c r="A15" s="29"/>
      <c r="B15" s="3"/>
      <c r="C15" s="26" t="s">
        <v>14</v>
      </c>
      <c r="D15" s="27">
        <v>86377500</v>
      </c>
      <c r="E15" s="27">
        <v>86377500</v>
      </c>
      <c r="F15" s="27">
        <f>SUM(D15-E15)</f>
        <v>0</v>
      </c>
      <c r="G15" s="28">
        <f>E15/D15</f>
        <v>1</v>
      </c>
    </row>
    <row r="16" spans="1:7" ht="9">
      <c r="A16" s="29"/>
      <c r="B16" s="3"/>
      <c r="C16" s="26" t="s">
        <v>15</v>
      </c>
      <c r="D16" s="27">
        <v>0</v>
      </c>
      <c r="E16" s="27">
        <v>1273776.8</v>
      </c>
      <c r="F16" s="27">
        <f>SUM(D16-E16)</f>
        <v>-1273776.8</v>
      </c>
      <c r="G16" s="28" t="s">
        <v>8</v>
      </c>
    </row>
    <row r="17" spans="1:7" ht="9">
      <c r="A17" s="29"/>
      <c r="B17" s="3"/>
      <c r="C17" s="26" t="s">
        <v>16</v>
      </c>
      <c r="D17" s="30">
        <v>17503066078.8</v>
      </c>
      <c r="E17" s="30">
        <f>3018457852.47+425956661.69+374923885.49+26958502.11+109075914.1+4172997060.66+8249695.92+532530245.52+2518745.58+9154126563.59</f>
        <v>17825795127.129997</v>
      </c>
      <c r="F17" s="30">
        <f>SUM(D17-E17)</f>
        <v>-322729048.329998</v>
      </c>
      <c r="G17" s="31">
        <f>E17/D17</f>
        <v>1.0184384294087132</v>
      </c>
    </row>
    <row r="18" spans="1:7" ht="9">
      <c r="A18" s="29"/>
      <c r="B18" s="3"/>
      <c r="C18" s="7" t="s">
        <v>38</v>
      </c>
      <c r="D18" s="22">
        <f>SUM(D7:D17)</f>
        <v>307324115888.8</v>
      </c>
      <c r="E18" s="22">
        <f>SUM(E7:E17)</f>
        <v>308879135851.91</v>
      </c>
      <c r="F18" s="22">
        <f>SUM(F7:F17)</f>
        <v>-1555019963.109998</v>
      </c>
      <c r="G18" s="23">
        <f>E18/D18</f>
        <v>1.0050598696383224</v>
      </c>
    </row>
    <row r="19" spans="1:7" ht="9">
      <c r="A19" s="29"/>
      <c r="B19" s="3"/>
      <c r="C19" s="27"/>
      <c r="D19" s="27"/>
      <c r="E19" s="27"/>
      <c r="F19" s="28"/>
      <c r="G19" s="26"/>
    </row>
    <row r="20" spans="1:7" ht="7.5" customHeight="1">
      <c r="A20" s="19"/>
      <c r="B20" s="20"/>
      <c r="C20" s="7"/>
      <c r="D20" s="27"/>
      <c r="E20" s="27"/>
      <c r="F20" s="27"/>
      <c r="G20" s="28"/>
    </row>
    <row r="21" spans="1:7" ht="9">
      <c r="A21" s="29">
        <v>2</v>
      </c>
      <c r="B21" s="3" t="s">
        <v>17</v>
      </c>
      <c r="C21" s="26" t="s">
        <v>36</v>
      </c>
      <c r="D21" s="27">
        <v>2540000000</v>
      </c>
      <c r="E21" s="27">
        <v>2051602989.94</v>
      </c>
      <c r="F21" s="27">
        <v>488397010.06000006</v>
      </c>
      <c r="G21" s="28">
        <v>1.7738120483188888</v>
      </c>
    </row>
    <row r="22" spans="1:7" ht="9">
      <c r="A22" s="19"/>
      <c r="B22" s="3"/>
      <c r="C22" s="26" t="s">
        <v>15</v>
      </c>
      <c r="D22" s="27">
        <v>0</v>
      </c>
      <c r="E22" s="27">
        <v>12154128.87</v>
      </c>
      <c r="F22" s="27">
        <f>SUM(D22-E22)</f>
        <v>-12154128.87</v>
      </c>
      <c r="G22" s="28" t="s">
        <v>8</v>
      </c>
    </row>
    <row r="23" spans="1:7" ht="9">
      <c r="A23" s="19"/>
      <c r="B23" s="3"/>
      <c r="C23" s="26" t="s">
        <v>16</v>
      </c>
      <c r="D23" s="30">
        <f>231309281.15+664190718.85</f>
        <v>895500000</v>
      </c>
      <c r="E23" s="30">
        <f>222761543.53+3160145853.19</f>
        <v>3382907396.7200003</v>
      </c>
      <c r="F23" s="30">
        <f>SUM(D23-E23)</f>
        <v>-2487407396.7200003</v>
      </c>
      <c r="G23" s="31">
        <f>E23/D23</f>
        <v>3.7776743681965383</v>
      </c>
    </row>
    <row r="24" spans="1:7" ht="9">
      <c r="A24" s="29"/>
      <c r="B24" s="3"/>
      <c r="C24" s="7" t="s">
        <v>38</v>
      </c>
      <c r="D24" s="22">
        <f>SUM(D21:D23)</f>
        <v>3435500000</v>
      </c>
      <c r="E24" s="22">
        <f>SUM(E21:E23)</f>
        <v>5446664515.530001</v>
      </c>
      <c r="F24" s="22">
        <f>SUM(F21:F23)</f>
        <v>-2011164515.5300002</v>
      </c>
      <c r="G24" s="23">
        <f>E24/D24</f>
        <v>1.585406641109009</v>
      </c>
    </row>
    <row r="25" spans="1:7" ht="9">
      <c r="A25" s="19"/>
      <c r="B25" s="20"/>
      <c r="C25" s="26"/>
      <c r="D25" s="27"/>
      <c r="E25" s="27"/>
      <c r="F25" s="27"/>
      <c r="G25" s="28"/>
    </row>
    <row r="26" spans="1:7" ht="7.5" customHeight="1">
      <c r="A26" s="29"/>
      <c r="B26" s="3"/>
      <c r="C26" s="26"/>
      <c r="D26" s="27"/>
      <c r="E26" s="27"/>
      <c r="F26" s="27"/>
      <c r="G26" s="28"/>
    </row>
    <row r="27" spans="1:7" ht="9">
      <c r="A27" s="19">
        <v>4</v>
      </c>
      <c r="B27" s="3" t="s">
        <v>18</v>
      </c>
      <c r="C27" s="26" t="s">
        <v>37</v>
      </c>
      <c r="D27" s="27">
        <v>7150000</v>
      </c>
      <c r="E27" s="27">
        <v>6877928.38</v>
      </c>
      <c r="F27" s="27">
        <f>SUM(D27-E27)</f>
        <v>272071.6200000001</v>
      </c>
      <c r="G27" s="28">
        <f>E27/D27</f>
        <v>0.9619480251748251</v>
      </c>
    </row>
    <row r="28" spans="1:7" ht="9">
      <c r="A28" s="29"/>
      <c r="B28" s="3"/>
      <c r="C28" s="26" t="s">
        <v>19</v>
      </c>
      <c r="D28" s="30">
        <v>153340000</v>
      </c>
      <c r="E28" s="30">
        <v>204039144.87</v>
      </c>
      <c r="F28" s="30">
        <f>SUM(D28-E28)</f>
        <v>-50699144.870000005</v>
      </c>
      <c r="G28" s="31">
        <f>E28/D28</f>
        <v>1.3306322216642754</v>
      </c>
    </row>
    <row r="29" spans="1:7" ht="9">
      <c r="A29" s="19"/>
      <c r="B29" s="20"/>
      <c r="C29" s="7" t="s">
        <v>38</v>
      </c>
      <c r="D29" s="22">
        <f>SUM(D27:D28)</f>
        <v>160490000</v>
      </c>
      <c r="E29" s="22">
        <f>SUM(E27:E28)</f>
        <v>210917073.25</v>
      </c>
      <c r="F29" s="22">
        <f>SUM(F27:F28)</f>
        <v>-50427073.25000001</v>
      </c>
      <c r="G29" s="23">
        <f>E29/D29</f>
        <v>1.3142069490310924</v>
      </c>
    </row>
    <row r="30" spans="1:7" ht="9">
      <c r="A30" s="29"/>
      <c r="B30" s="3"/>
      <c r="C30" s="26"/>
      <c r="D30" s="27"/>
      <c r="E30" s="27"/>
      <c r="F30" s="27"/>
      <c r="G30" s="28"/>
    </row>
    <row r="31" spans="1:7" ht="7.5" customHeight="1">
      <c r="A31" s="19"/>
      <c r="B31" s="3"/>
      <c r="C31" s="26"/>
      <c r="D31" s="27"/>
      <c r="E31" s="27"/>
      <c r="F31" s="27"/>
      <c r="G31" s="28"/>
    </row>
    <row r="32" spans="1:7" ht="9">
      <c r="A32" s="29">
        <v>5</v>
      </c>
      <c r="B32" s="3" t="s">
        <v>20</v>
      </c>
      <c r="C32" s="26" t="s">
        <v>21</v>
      </c>
      <c r="D32" s="27">
        <v>400000000</v>
      </c>
      <c r="E32" s="27">
        <v>482333814.36</v>
      </c>
      <c r="F32" s="27">
        <f>SUM(D32-E32)</f>
        <v>-82333814.36000001</v>
      </c>
      <c r="G32" s="28">
        <f>E32/D32</f>
        <v>1.2058345359</v>
      </c>
    </row>
    <row r="33" spans="1:7" ht="9">
      <c r="A33" s="29"/>
      <c r="B33" s="3"/>
      <c r="C33" s="26" t="s">
        <v>36</v>
      </c>
      <c r="D33" s="27">
        <v>0</v>
      </c>
      <c r="E33" s="27">
        <v>18332116.22</v>
      </c>
      <c r="F33" s="27">
        <f>SUM(D33-E33)</f>
        <v>-18332116.22</v>
      </c>
      <c r="G33" s="28" t="s">
        <v>8</v>
      </c>
    </row>
    <row r="34" spans="1:7" ht="9">
      <c r="A34" s="29"/>
      <c r="B34" s="3"/>
      <c r="C34" s="26" t="s">
        <v>35</v>
      </c>
      <c r="D34" s="27">
        <v>57000000</v>
      </c>
      <c r="E34" s="27">
        <v>61883500.62</v>
      </c>
      <c r="F34" s="27">
        <f>SUM(D34-E34)</f>
        <v>-4883500.619999997</v>
      </c>
      <c r="G34" s="28">
        <f>E34/D34</f>
        <v>1.0856754494736842</v>
      </c>
    </row>
    <row r="35" spans="1:7" ht="9">
      <c r="A35" s="29"/>
      <c r="B35" s="3"/>
      <c r="C35" s="26" t="s">
        <v>10</v>
      </c>
      <c r="D35" s="27">
        <v>55700000</v>
      </c>
      <c r="E35" s="27">
        <f>26323054.76+10571187.55</f>
        <v>36894242.31</v>
      </c>
      <c r="F35" s="27">
        <f>SUM(D35-E35)</f>
        <v>18805757.689999998</v>
      </c>
      <c r="G35" s="28">
        <f>E35/D35</f>
        <v>0.6623741886894076</v>
      </c>
    </row>
    <row r="36" spans="1:7" ht="9">
      <c r="A36" s="29"/>
      <c r="B36" s="3"/>
      <c r="C36" s="26" t="s">
        <v>22</v>
      </c>
      <c r="D36" s="27">
        <v>6800000</v>
      </c>
      <c r="E36" s="27">
        <v>37094</v>
      </c>
      <c r="F36" s="27">
        <f>SUM(D36-E36)</f>
        <v>6762906</v>
      </c>
      <c r="G36" s="28">
        <f>E36/D36</f>
        <v>0.005455</v>
      </c>
    </row>
    <row r="37" spans="1:7" ht="9">
      <c r="A37" s="29"/>
      <c r="B37" s="3"/>
      <c r="C37" s="26" t="s">
        <v>13</v>
      </c>
      <c r="D37" s="27">
        <v>271011166</v>
      </c>
      <c r="E37" s="27">
        <v>194138645.99</v>
      </c>
      <c r="F37" s="27">
        <f>SUM(D37-E37)</f>
        <v>76872520.00999999</v>
      </c>
      <c r="G37" s="28">
        <f>E37/D37</f>
        <v>0.7163492517869172</v>
      </c>
    </row>
    <row r="38" spans="1:7" ht="9">
      <c r="A38" s="29"/>
      <c r="B38" s="3"/>
      <c r="C38" s="26" t="s">
        <v>14</v>
      </c>
      <c r="D38" s="27">
        <f>89859786.8+118409242.01</f>
        <v>208269028.81</v>
      </c>
      <c r="E38" s="27">
        <v>174772525.35</v>
      </c>
      <c r="F38" s="27">
        <f>SUM(D38-E38)</f>
        <v>33496503.46000001</v>
      </c>
      <c r="G38" s="28">
        <f>E38/D38</f>
        <v>0.8391671404462242</v>
      </c>
    </row>
    <row r="39" spans="1:7" ht="9">
      <c r="A39" s="29"/>
      <c r="B39" s="3"/>
      <c r="C39" s="26" t="s">
        <v>15</v>
      </c>
      <c r="D39" s="27">
        <f>48510000+564769943.03</f>
        <v>613279943.03</v>
      </c>
      <c r="E39" s="27">
        <v>1045767422.41</v>
      </c>
      <c r="F39" s="27">
        <f>SUM(D39-E39)</f>
        <v>-432487479.38</v>
      </c>
      <c r="G39" s="28">
        <f>E39/D39</f>
        <v>1.7052040170158376</v>
      </c>
    </row>
    <row r="40" spans="1:7" ht="9">
      <c r="A40" s="29"/>
      <c r="B40" s="3"/>
      <c r="C40" s="26" t="s">
        <v>24</v>
      </c>
      <c r="D40" s="27">
        <v>67092130</v>
      </c>
      <c r="E40" s="27">
        <v>245453638.72</v>
      </c>
      <c r="F40" s="27">
        <f>SUM(D40-E40)</f>
        <v>-178361508.72</v>
      </c>
      <c r="G40" s="28">
        <f>E40/D40</f>
        <v>3.6584564943757187</v>
      </c>
    </row>
    <row r="41" spans="1:7" ht="9">
      <c r="A41" s="29"/>
      <c r="B41" s="3"/>
      <c r="C41" s="26" t="s">
        <v>25</v>
      </c>
      <c r="D41" s="27">
        <v>100000000</v>
      </c>
      <c r="E41" s="27">
        <v>91250000</v>
      </c>
      <c r="F41" s="27">
        <f>SUM(D41-E41)</f>
        <v>8750000</v>
      </c>
      <c r="G41" s="28">
        <f>E41/D41</f>
        <v>0.9125</v>
      </c>
    </row>
    <row r="42" spans="1:7" ht="9">
      <c r="A42" s="29"/>
      <c r="B42" s="3"/>
      <c r="C42" s="26" t="s">
        <v>26</v>
      </c>
      <c r="D42" s="27">
        <v>3840300000</v>
      </c>
      <c r="E42" s="27">
        <v>3494038263.21</v>
      </c>
      <c r="F42" s="27">
        <f>SUM(D42-E42)</f>
        <v>346261736.78999996</v>
      </c>
      <c r="G42" s="28">
        <f>E42/D42</f>
        <v>0.9098347168736818</v>
      </c>
    </row>
    <row r="43" spans="1:7" ht="9">
      <c r="A43" s="29"/>
      <c r="B43" s="3"/>
      <c r="C43" s="26" t="s">
        <v>16</v>
      </c>
      <c r="D43" s="27">
        <v>4112013832.71</v>
      </c>
      <c r="E43" s="27">
        <f>2534328344.6+4656791080.08</f>
        <v>7191119424.68</v>
      </c>
      <c r="F43" s="27">
        <f>SUM(D43-E43)</f>
        <v>-3079105591.9700003</v>
      </c>
      <c r="G43" s="28">
        <f>E43/D43</f>
        <v>1.7488072066967568</v>
      </c>
    </row>
    <row r="44" spans="1:7" ht="9">
      <c r="A44" s="29"/>
      <c r="B44" s="3"/>
      <c r="C44" s="26" t="s">
        <v>27</v>
      </c>
      <c r="D44" s="30">
        <f>387356591.47+3093019992.53</f>
        <v>3480376584</v>
      </c>
      <c r="E44" s="30">
        <f>380430685.33+7958062740.04</f>
        <v>8338493425.37</v>
      </c>
      <c r="F44" s="30">
        <f>SUM(D44-E44)</f>
        <v>-4858116841.37</v>
      </c>
      <c r="G44" s="31">
        <f>E44/D44</f>
        <v>2.395859535345615</v>
      </c>
    </row>
    <row r="45" spans="1:89" s="25" customFormat="1" ht="15" customHeight="1">
      <c r="A45" s="19"/>
      <c r="B45" s="20"/>
      <c r="C45" s="21" t="s">
        <v>38</v>
      </c>
      <c r="D45" s="22">
        <f>SUM(D32:D44)</f>
        <v>13211842684.55</v>
      </c>
      <c r="E45" s="22">
        <f>SUM(E32:E44)</f>
        <v>21374514113.24</v>
      </c>
      <c r="F45" s="22">
        <f>SUM(F32:F44)</f>
        <v>-8162671428.690001</v>
      </c>
      <c r="G45" s="23">
        <f>E45/D45</f>
        <v>1.6178298987949256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</row>
    <row r="46" spans="1:7" ht="9">
      <c r="A46" s="29"/>
      <c r="B46" s="3"/>
      <c r="C46" s="26"/>
      <c r="D46" s="27"/>
      <c r="E46" s="27"/>
      <c r="F46" s="27"/>
      <c r="G46" s="28"/>
    </row>
    <row r="47" spans="1:7" ht="7.5" customHeight="1">
      <c r="A47" s="19"/>
      <c r="B47" s="3"/>
      <c r="C47" s="26"/>
      <c r="D47" s="27"/>
      <c r="E47" s="27"/>
      <c r="F47" s="27"/>
      <c r="G47" s="28"/>
    </row>
    <row r="48" spans="1:7" ht="9">
      <c r="A48" s="19">
        <v>6</v>
      </c>
      <c r="B48" s="3" t="s">
        <v>28</v>
      </c>
      <c r="C48" s="26" t="s">
        <v>35</v>
      </c>
      <c r="D48" s="27">
        <v>330545500</v>
      </c>
      <c r="E48" s="27">
        <f>215398454.92+65799142.34</f>
        <v>281197597.26</v>
      </c>
      <c r="F48" s="27">
        <f>SUM(D48-E48)</f>
        <v>49347902.74000001</v>
      </c>
      <c r="G48" s="28">
        <f>E48/D48</f>
        <v>0.850707685507744</v>
      </c>
    </row>
    <row r="49" spans="1:7" ht="9">
      <c r="A49" s="29"/>
      <c r="B49" s="3"/>
      <c r="C49" s="26" t="s">
        <v>15</v>
      </c>
      <c r="D49" s="27">
        <v>0</v>
      </c>
      <c r="E49" s="27">
        <v>331484.57</v>
      </c>
      <c r="F49" s="27">
        <f>SUM(D49-E49)</f>
        <v>-331484.57</v>
      </c>
      <c r="G49" s="28" t="s">
        <v>8</v>
      </c>
    </row>
    <row r="50" spans="1:7" ht="9">
      <c r="A50" s="19"/>
      <c r="B50" s="20"/>
      <c r="C50" s="26" t="s">
        <v>16</v>
      </c>
      <c r="D50" s="30">
        <f>22045152.62+89954847.38</f>
        <v>112000000</v>
      </c>
      <c r="E50" s="30">
        <f>13980664.48+458816971.33</f>
        <v>472797635.81</v>
      </c>
      <c r="F50" s="30">
        <f>SUM(D50-E50)</f>
        <v>-360797635.81</v>
      </c>
      <c r="G50" s="31">
        <f>E50/D50</f>
        <v>4.221407462589286</v>
      </c>
    </row>
    <row r="51" spans="1:89" s="25" customFormat="1" ht="15" customHeight="1">
      <c r="A51" s="29"/>
      <c r="B51" s="3"/>
      <c r="C51" s="33" t="s">
        <v>38</v>
      </c>
      <c r="D51" s="22">
        <f>SUM(D48:D50)</f>
        <v>442545500</v>
      </c>
      <c r="E51" s="22">
        <f>SUM(E48:E50)</f>
        <v>754326717.64</v>
      </c>
      <c r="F51" s="22">
        <f>SUM(F48:F50)</f>
        <v>-311781217.64</v>
      </c>
      <c r="G51" s="23">
        <f>E51/D51</f>
        <v>1.7045178803987386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</row>
    <row r="52" spans="1:7" ht="9">
      <c r="A52" s="19"/>
      <c r="B52" s="3"/>
      <c r="D52" s="27"/>
      <c r="E52" s="27"/>
      <c r="F52" s="27"/>
      <c r="G52" s="28"/>
    </row>
    <row r="53" spans="1:7" ht="7.5" customHeight="1">
      <c r="A53" s="29"/>
      <c r="B53" s="3"/>
      <c r="C53" s="26"/>
      <c r="D53" s="27"/>
      <c r="E53" s="27"/>
      <c r="F53" s="27"/>
      <c r="G53" s="28"/>
    </row>
    <row r="54" spans="1:7" ht="18.75">
      <c r="A54" s="19">
        <v>7</v>
      </c>
      <c r="B54" s="20" t="s">
        <v>45</v>
      </c>
      <c r="C54" s="26" t="s">
        <v>35</v>
      </c>
      <c r="D54" s="27">
        <v>1880000000</v>
      </c>
      <c r="E54" s="27">
        <f>1871379912.94+326550368.5</f>
        <v>2197930281.44</v>
      </c>
      <c r="F54" s="27">
        <f>SUM(D54-E54)</f>
        <v>-317930281.44000006</v>
      </c>
      <c r="G54" s="28">
        <f>E54/D54</f>
        <v>1.1691118518297872</v>
      </c>
    </row>
    <row r="55" spans="1:7" ht="9">
      <c r="A55" s="29"/>
      <c r="B55" s="3"/>
      <c r="C55" s="26" t="s">
        <v>29</v>
      </c>
      <c r="D55" s="30">
        <f>10491657.48+189508342.52</f>
        <v>200000000</v>
      </c>
      <c r="E55" s="30">
        <f>10466457.48+281123618.23</f>
        <v>291590075.71000004</v>
      </c>
      <c r="F55" s="30">
        <f>SUM(D55-E55)</f>
        <v>-91590075.71000004</v>
      </c>
      <c r="G55" s="31">
        <f>E55/D55</f>
        <v>1.45795037855</v>
      </c>
    </row>
    <row r="56" spans="1:89" s="25" customFormat="1" ht="15" customHeight="1">
      <c r="A56" s="29"/>
      <c r="B56" s="3"/>
      <c r="C56" s="21" t="s">
        <v>38</v>
      </c>
      <c r="D56" s="22">
        <f>SUM(D54:D55)</f>
        <v>2080000000</v>
      </c>
      <c r="E56" s="22">
        <f>SUM(E54:E55)</f>
        <v>2489520357.15</v>
      </c>
      <c r="F56" s="22">
        <f>SUM(F54:F55)</f>
        <v>-409520357.1500001</v>
      </c>
      <c r="G56" s="23">
        <f>E56/D56</f>
        <v>1.1968847870913462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</row>
    <row r="57" spans="1:7" ht="9">
      <c r="A57" s="29"/>
      <c r="B57" s="3"/>
      <c r="C57" s="26"/>
      <c r="D57" s="27"/>
      <c r="E57" s="27"/>
      <c r="F57" s="27"/>
      <c r="G57" s="28"/>
    </row>
    <row r="58" spans="1:7" ht="7.5" customHeight="1">
      <c r="A58" s="29"/>
      <c r="B58" s="3"/>
      <c r="C58" s="26"/>
      <c r="D58" s="27"/>
      <c r="E58" s="27"/>
      <c r="F58" s="27"/>
      <c r="G58" s="28"/>
    </row>
    <row r="59" spans="1:7" ht="20.25" customHeight="1">
      <c r="A59" s="29">
        <v>8</v>
      </c>
      <c r="B59" s="3" t="s">
        <v>30</v>
      </c>
      <c r="C59" s="26" t="s">
        <v>9</v>
      </c>
      <c r="D59" s="27">
        <f>427000000+230000000</f>
        <v>657000000</v>
      </c>
      <c r="E59" s="27">
        <f>622269453.66+344972489.17</f>
        <v>967241942.8299999</v>
      </c>
      <c r="F59" s="27">
        <f>SUM(D59-E59)</f>
        <v>-310241942.8299999</v>
      </c>
      <c r="G59" s="28">
        <f>E59/D59</f>
        <v>1.4722099586453576</v>
      </c>
    </row>
    <row r="60" spans="1:7" ht="9">
      <c r="A60" s="19"/>
      <c r="B60" s="20"/>
      <c r="C60" s="26" t="s">
        <v>10</v>
      </c>
      <c r="D60" s="27">
        <v>120000000</v>
      </c>
      <c r="E60" s="27">
        <v>56965810.02</v>
      </c>
      <c r="F60" s="27">
        <f>SUM(D60-E60)</f>
        <v>63034189.98</v>
      </c>
      <c r="G60" s="28">
        <f>E60/D60</f>
        <v>0.4747150835</v>
      </c>
    </row>
    <row r="61" spans="1:7" ht="9">
      <c r="A61" s="29"/>
      <c r="B61" s="3"/>
      <c r="C61" s="26" t="s">
        <v>15</v>
      </c>
      <c r="D61" s="27">
        <v>892367000</v>
      </c>
      <c r="E61" s="27">
        <f>1347835247.68+12093.96</f>
        <v>1347847341.64</v>
      </c>
      <c r="F61" s="27">
        <f>SUM(D61-E61)</f>
        <v>-455480341.6400001</v>
      </c>
      <c r="G61" s="28">
        <f>E61/D61</f>
        <v>1.510418181801882</v>
      </c>
    </row>
    <row r="62" spans="1:7" ht="9">
      <c r="A62" s="29"/>
      <c r="B62" s="3"/>
      <c r="C62" s="26" t="s">
        <v>16</v>
      </c>
      <c r="D62" s="30">
        <f>946359845.1+3890453609.9</f>
        <v>4836813455</v>
      </c>
      <c r="E62" s="30">
        <f>943760922.65+7147600363.96</f>
        <v>8091361286.61</v>
      </c>
      <c r="F62" s="30">
        <f>SUM(D62-E62)</f>
        <v>-3254547831.6099997</v>
      </c>
      <c r="G62" s="31">
        <f>E62/D62</f>
        <v>1.6728702402706164</v>
      </c>
    </row>
    <row r="63" spans="1:89" s="25" customFormat="1" ht="15" customHeight="1">
      <c r="A63" s="29"/>
      <c r="B63" s="3"/>
      <c r="C63" s="21" t="s">
        <v>38</v>
      </c>
      <c r="D63" s="22">
        <f>SUM(D59:D62)</f>
        <v>6506180455</v>
      </c>
      <c r="E63" s="22">
        <f>SUM(E59:E62)</f>
        <v>10463416381.099998</v>
      </c>
      <c r="F63" s="22">
        <f>SUM(F59:F62)</f>
        <v>-3957235926.0999994</v>
      </c>
      <c r="G63" s="23">
        <f>E63/D63</f>
        <v>1.6082272008085576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</row>
    <row r="64" spans="1:7" ht="9">
      <c r="A64" s="29"/>
      <c r="B64" s="3"/>
      <c r="D64" s="27"/>
      <c r="E64" s="27"/>
      <c r="F64" s="27"/>
      <c r="G64" s="28"/>
    </row>
    <row r="65" spans="1:7" ht="7.5" customHeight="1">
      <c r="A65" s="29"/>
      <c r="B65" s="3"/>
      <c r="C65" s="6"/>
      <c r="D65" s="27"/>
      <c r="E65" s="27"/>
      <c r="F65" s="27"/>
      <c r="G65" s="28"/>
    </row>
    <row r="66" spans="1:7" ht="18.75">
      <c r="A66" s="19">
        <v>9</v>
      </c>
      <c r="B66" s="20" t="s">
        <v>31</v>
      </c>
      <c r="C66" s="26" t="s">
        <v>32</v>
      </c>
      <c r="D66" s="27">
        <v>4894472553</v>
      </c>
      <c r="E66" s="27">
        <v>4894472553</v>
      </c>
      <c r="F66" s="27">
        <f>SUM(D66-E66)</f>
        <v>0</v>
      </c>
      <c r="G66" s="28">
        <f>E66/D66</f>
        <v>1</v>
      </c>
    </row>
    <row r="67" spans="1:7" ht="9">
      <c r="A67" s="29"/>
      <c r="B67" s="5"/>
      <c r="C67" s="26" t="s">
        <v>16</v>
      </c>
      <c r="D67" s="30">
        <f>397794907.53+881455198.65</f>
        <v>1279250106.1799998</v>
      </c>
      <c r="E67" s="30">
        <f>397794907.53+881455200.65</f>
        <v>1279250108.1799998</v>
      </c>
      <c r="F67" s="30">
        <f>SUM(D67-E67)</f>
        <v>-2</v>
      </c>
      <c r="G67" s="31">
        <f>E67/D67</f>
        <v>1.0000000015634158</v>
      </c>
    </row>
    <row r="68" spans="1:89" s="25" customFormat="1" ht="15" customHeight="1">
      <c r="A68" s="29"/>
      <c r="B68" s="3"/>
      <c r="C68" s="21" t="s">
        <v>38</v>
      </c>
      <c r="D68" s="22">
        <f>SUM(D66:D67)</f>
        <v>6173722659.18</v>
      </c>
      <c r="E68" s="22">
        <f>SUM(E66:E67)</f>
        <v>6173722661.18</v>
      </c>
      <c r="F68" s="22">
        <f>SUM(F66:F67)</f>
        <v>-2</v>
      </c>
      <c r="G68" s="23">
        <f>E68/D68</f>
        <v>1.0000000003239538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</row>
    <row r="69" spans="1:7" ht="9">
      <c r="A69" s="29"/>
      <c r="B69" s="3"/>
      <c r="D69" s="27"/>
      <c r="E69" s="27"/>
      <c r="F69" s="27"/>
      <c r="G69" s="28"/>
    </row>
    <row r="70" spans="1:7" ht="7.5" customHeight="1">
      <c r="A70" s="29"/>
      <c r="B70" s="3"/>
      <c r="C70" s="26"/>
      <c r="D70" s="27"/>
      <c r="E70" s="27" t="s">
        <v>23</v>
      </c>
      <c r="F70" s="27"/>
      <c r="G70" s="28"/>
    </row>
    <row r="71" spans="1:7" ht="18.75">
      <c r="A71" s="29">
        <v>11</v>
      </c>
      <c r="B71" s="20" t="s">
        <v>33</v>
      </c>
      <c r="C71" s="26" t="s">
        <v>15</v>
      </c>
      <c r="D71" s="27">
        <v>1166396932.33</v>
      </c>
      <c r="E71" s="27">
        <v>1166400621.52</v>
      </c>
      <c r="F71" s="27">
        <f>SUM(D71-E71)</f>
        <v>-3689.1900000572205</v>
      </c>
      <c r="G71" s="28">
        <f>E71/D71</f>
        <v>1.000003162894121</v>
      </c>
    </row>
    <row r="72" spans="1:7" ht="9">
      <c r="A72" s="29"/>
      <c r="B72" s="5"/>
      <c r="C72" s="26" t="s">
        <v>16</v>
      </c>
      <c r="D72" s="30">
        <v>11043160.15</v>
      </c>
      <c r="E72" s="30">
        <v>11043160.15</v>
      </c>
      <c r="F72" s="30">
        <f>SUM(D72-E72)</f>
        <v>0</v>
      </c>
      <c r="G72" s="31">
        <f>E72/D72</f>
        <v>1</v>
      </c>
    </row>
    <row r="73" spans="1:89" s="25" customFormat="1" ht="15" customHeight="1">
      <c r="A73" s="29"/>
      <c r="B73" s="3"/>
      <c r="C73" s="21" t="s">
        <v>38</v>
      </c>
      <c r="D73" s="22">
        <f>SUM(D71:D72)</f>
        <v>1177440092.48</v>
      </c>
      <c r="E73" s="22">
        <f>SUM(E71:E72)</f>
        <v>1177443781.67</v>
      </c>
      <c r="F73" s="22">
        <f>SUM(F71:F72)</f>
        <v>-3689.1900000572205</v>
      </c>
      <c r="G73" s="23">
        <f>E73/D73</f>
        <v>1.0000031332294728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</row>
    <row r="74" spans="1:7" ht="14.25" customHeight="1">
      <c r="A74" s="15"/>
      <c r="B74" s="15"/>
      <c r="C74" s="16" t="s">
        <v>34</v>
      </c>
      <c r="D74" s="17">
        <f>D18+D24+D29+D45+D51+D56+D63+D68+D73</f>
        <v>340511837280.00995</v>
      </c>
      <c r="E74" s="17">
        <f>E18+E24+E29+E45+E51+E56+E63+E68+E73</f>
        <v>356969661452.67</v>
      </c>
      <c r="F74" s="17">
        <f>F18+F24+F29+F45+F51+F56+F63+F68+F73</f>
        <v>-16457824172.659998</v>
      </c>
      <c r="G74" s="18">
        <f>+E74/D74</f>
        <v>1.0483326051279869</v>
      </c>
    </row>
    <row r="75" ht="9">
      <c r="C75" s="9"/>
    </row>
    <row r="76" spans="1:7" s="9" customFormat="1" ht="9">
      <c r="A76" s="8"/>
      <c r="B76" s="8"/>
      <c r="C76" s="4"/>
      <c r="D76" s="10"/>
      <c r="E76" s="10"/>
      <c r="F76" s="10"/>
      <c r="G76" s="11"/>
    </row>
    <row r="77" spans="1:7" s="9" customFormat="1" ht="24.75" customHeight="1">
      <c r="A77" s="8"/>
      <c r="B77" s="8"/>
      <c r="C77" s="4"/>
      <c r="D77" s="10"/>
      <c r="E77" s="10"/>
      <c r="F77" s="10"/>
      <c r="G77" s="11"/>
    </row>
    <row r="78" spans="1:7" s="9" customFormat="1" ht="9">
      <c r="A78" s="8"/>
      <c r="B78" s="8"/>
      <c r="C78" s="4"/>
      <c r="D78" s="10"/>
      <c r="E78" s="10"/>
      <c r="F78" s="10"/>
      <c r="G78" s="11"/>
    </row>
    <row r="79" spans="1:7" s="9" customFormat="1" ht="12" customHeight="1">
      <c r="A79" s="8"/>
      <c r="B79" s="8"/>
      <c r="C79" s="4"/>
      <c r="D79" s="10"/>
      <c r="E79" s="10"/>
      <c r="F79" s="10"/>
      <c r="G79" s="11"/>
    </row>
    <row r="80" spans="1:7" s="9" customFormat="1" ht="9">
      <c r="A80" s="8"/>
      <c r="B80" s="8"/>
      <c r="C80" s="4"/>
      <c r="D80" s="10"/>
      <c r="E80" s="10"/>
      <c r="F80" s="10"/>
      <c r="G80" s="11"/>
    </row>
    <row r="81" spans="1:7" s="9" customFormat="1" ht="28.5" customHeight="1">
      <c r="A81" s="8"/>
      <c r="B81" s="8"/>
      <c r="C81" s="4"/>
      <c r="D81" s="10"/>
      <c r="E81" s="10"/>
      <c r="F81" s="10"/>
      <c r="G81" s="11"/>
    </row>
    <row r="82" spans="1:7" s="9" customFormat="1" ht="9">
      <c r="A82" s="8"/>
      <c r="B82" s="8"/>
      <c r="C82" s="4"/>
      <c r="D82" s="10"/>
      <c r="E82" s="10"/>
      <c r="F82" s="10"/>
      <c r="G82" s="11"/>
    </row>
    <row r="83" spans="1:7" s="9" customFormat="1" ht="9">
      <c r="A83" s="8"/>
      <c r="B83" s="8"/>
      <c r="C83" s="4"/>
      <c r="D83" s="10"/>
      <c r="E83" s="10"/>
      <c r="F83" s="10"/>
      <c r="G83" s="11"/>
    </row>
    <row r="84" spans="1:7" s="9" customFormat="1" ht="9">
      <c r="A84" s="8"/>
      <c r="B84" s="8"/>
      <c r="C84" s="4"/>
      <c r="D84" s="10"/>
      <c r="E84" s="10"/>
      <c r="F84" s="10"/>
      <c r="G84" s="11"/>
    </row>
    <row r="85" spans="1:7" s="9" customFormat="1" ht="9">
      <c r="A85" s="8"/>
      <c r="B85" s="8"/>
      <c r="C85" s="4"/>
      <c r="D85" s="10"/>
      <c r="E85" s="10"/>
      <c r="F85" s="10"/>
      <c r="G85" s="11"/>
    </row>
    <row r="206" spans="1:6" ht="9">
      <c r="A206" s="4"/>
      <c r="B206" s="4"/>
      <c r="D206" s="4"/>
      <c r="E206" s="4"/>
      <c r="F206" s="4"/>
    </row>
    <row r="207" spans="1:6" ht="9">
      <c r="A207" s="4"/>
      <c r="B207" s="4"/>
      <c r="D207" s="4"/>
      <c r="E207" s="4"/>
      <c r="F207" s="4"/>
    </row>
    <row r="208" spans="1:6" ht="9">
      <c r="A208" s="4"/>
      <c r="B208" s="4"/>
      <c r="D208" s="4"/>
      <c r="E208" s="4"/>
      <c r="F208" s="4"/>
    </row>
    <row r="209" spans="1:6" ht="9">
      <c r="A209" s="4"/>
      <c r="B209" s="4"/>
      <c r="D209" s="4"/>
      <c r="E209" s="4"/>
      <c r="F209" s="4"/>
    </row>
    <row r="210" spans="1:6" ht="9">
      <c r="A210" s="4"/>
      <c r="B210" s="4"/>
      <c r="D210" s="4"/>
      <c r="E210" s="4"/>
      <c r="F210" s="4"/>
    </row>
    <row r="211" spans="1:6" ht="9">
      <c r="A211" s="4"/>
      <c r="B211" s="4"/>
      <c r="D211" s="4"/>
      <c r="E211" s="4"/>
      <c r="F211" s="4"/>
    </row>
    <row r="212" spans="1:6" ht="9">
      <c r="A212" s="4"/>
      <c r="B212" s="4"/>
      <c r="D212" s="4"/>
      <c r="E212" s="4"/>
      <c r="F212" s="4"/>
    </row>
    <row r="213" spans="1:6" ht="9">
      <c r="A213" s="4"/>
      <c r="B213" s="4"/>
      <c r="D213" s="4"/>
      <c r="E213" s="4"/>
      <c r="F213" s="4"/>
    </row>
    <row r="214" spans="1:6" ht="9">
      <c r="A214" s="4"/>
      <c r="B214" s="4"/>
      <c r="D214" s="4"/>
      <c r="E214" s="4"/>
      <c r="F214" s="4"/>
    </row>
    <row r="215" spans="1:6" ht="9">
      <c r="A215" s="4"/>
      <c r="B215" s="4"/>
      <c r="D215" s="4"/>
      <c r="E215" s="4"/>
      <c r="F215" s="4"/>
    </row>
    <row r="216" spans="1:6" ht="9">
      <c r="A216" s="4"/>
      <c r="B216" s="4"/>
      <c r="D216" s="4"/>
      <c r="E216" s="4"/>
      <c r="F216" s="4"/>
    </row>
    <row r="217" spans="1:6" ht="9">
      <c r="A217" s="4"/>
      <c r="B217" s="4"/>
      <c r="D217" s="4"/>
      <c r="E217" s="4"/>
      <c r="F217" s="4"/>
    </row>
    <row r="218" spans="1:6" ht="9">
      <c r="A218" s="4"/>
      <c r="B218" s="4"/>
      <c r="D218" s="4"/>
      <c r="E218" s="4"/>
      <c r="F218" s="4"/>
    </row>
    <row r="219" spans="1:6" ht="9">
      <c r="A219" s="4"/>
      <c r="B219" s="4"/>
      <c r="D219" s="4"/>
      <c r="E219" s="4"/>
      <c r="F219" s="4"/>
    </row>
    <row r="220" spans="1:6" ht="9">
      <c r="A220" s="4"/>
      <c r="B220" s="4"/>
      <c r="D220" s="4"/>
      <c r="E220" s="4"/>
      <c r="F220" s="4"/>
    </row>
    <row r="221" spans="1:6" ht="9">
      <c r="A221" s="4"/>
      <c r="B221" s="4"/>
      <c r="D221" s="4"/>
      <c r="E221" s="4"/>
      <c r="F221" s="4"/>
    </row>
    <row r="222" spans="1:6" ht="9">
      <c r="A222" s="4"/>
      <c r="B222" s="4"/>
      <c r="D222" s="4"/>
      <c r="E222" s="4"/>
      <c r="F222" s="4"/>
    </row>
    <row r="223" spans="1:6" ht="9">
      <c r="A223" s="4"/>
      <c r="B223" s="4"/>
      <c r="D223" s="4"/>
      <c r="E223" s="4"/>
      <c r="F223" s="4"/>
    </row>
    <row r="224" spans="1:6" ht="9">
      <c r="A224" s="4"/>
      <c r="B224" s="4"/>
      <c r="D224" s="4"/>
      <c r="E224" s="4"/>
      <c r="F224" s="4"/>
    </row>
    <row r="225" spans="1:6" ht="9">
      <c r="A225" s="4"/>
      <c r="B225" s="4"/>
      <c r="D225" s="4"/>
      <c r="E225" s="4"/>
      <c r="F225" s="4"/>
    </row>
    <row r="226" spans="1:6" ht="9">
      <c r="A226" s="4"/>
      <c r="B226" s="4"/>
      <c r="D226" s="4"/>
      <c r="E226" s="4"/>
      <c r="F226" s="4"/>
    </row>
    <row r="227" spans="1:6" ht="9">
      <c r="A227" s="4"/>
      <c r="B227" s="4"/>
      <c r="D227" s="4"/>
      <c r="E227" s="4"/>
      <c r="F227" s="4"/>
    </row>
    <row r="228" spans="1:6" ht="9">
      <c r="A228" s="4"/>
      <c r="B228" s="4"/>
      <c r="D228" s="4"/>
      <c r="E228" s="4"/>
      <c r="F228" s="4"/>
    </row>
    <row r="229" spans="1:6" ht="9">
      <c r="A229" s="4"/>
      <c r="B229" s="4"/>
      <c r="D229" s="4"/>
      <c r="E229" s="4"/>
      <c r="F229" s="4"/>
    </row>
    <row r="230" spans="1:6" ht="9">
      <c r="A230" s="4"/>
      <c r="B230" s="4"/>
      <c r="D230" s="4"/>
      <c r="E230" s="4"/>
      <c r="F230" s="4"/>
    </row>
    <row r="231" spans="1:6" ht="9">
      <c r="A231" s="4"/>
      <c r="B231" s="4"/>
      <c r="D231" s="4"/>
      <c r="E231" s="4"/>
      <c r="F231" s="4"/>
    </row>
    <row r="232" spans="1:6" ht="9">
      <c r="A232" s="4"/>
      <c r="B232" s="4"/>
      <c r="D232" s="4"/>
      <c r="E232" s="4"/>
      <c r="F232" s="4"/>
    </row>
    <row r="233" spans="1:6" ht="9">
      <c r="A233" s="4"/>
      <c r="B233" s="4"/>
      <c r="D233" s="4"/>
      <c r="E233" s="4"/>
      <c r="F233" s="4"/>
    </row>
    <row r="234" spans="1:6" ht="9">
      <c r="A234" s="4"/>
      <c r="B234" s="4"/>
      <c r="D234" s="4"/>
      <c r="E234" s="4"/>
      <c r="F234" s="4"/>
    </row>
    <row r="235" spans="1:6" ht="9">
      <c r="A235" s="4"/>
      <c r="B235" s="4"/>
      <c r="D235" s="4"/>
      <c r="E235" s="4"/>
      <c r="F235" s="4"/>
    </row>
    <row r="236" spans="1:6" ht="9">
      <c r="A236" s="4"/>
      <c r="B236" s="4"/>
      <c r="D236" s="4"/>
      <c r="E236" s="4"/>
      <c r="F236" s="4"/>
    </row>
    <row r="237" spans="1:6" ht="9">
      <c r="A237" s="4"/>
      <c r="B237" s="4"/>
      <c r="D237" s="4"/>
      <c r="E237" s="4"/>
      <c r="F237" s="4"/>
    </row>
    <row r="238" spans="1:6" ht="9">
      <c r="A238" s="4"/>
      <c r="B238" s="4"/>
      <c r="D238" s="4"/>
      <c r="E238" s="4"/>
      <c r="F238" s="4"/>
    </row>
    <row r="239" spans="1:6" ht="9">
      <c r="A239" s="4"/>
      <c r="B239" s="4"/>
      <c r="D239" s="4"/>
      <c r="E239" s="4"/>
      <c r="F239" s="4"/>
    </row>
    <row r="240" spans="1:6" ht="9">
      <c r="A240" s="4"/>
      <c r="B240" s="4"/>
      <c r="D240" s="4"/>
      <c r="E240" s="4"/>
      <c r="F240" s="4"/>
    </row>
    <row r="241" spans="1:6" ht="9">
      <c r="A241" s="4"/>
      <c r="B241" s="4"/>
      <c r="D241" s="4"/>
      <c r="E241" s="4"/>
      <c r="F241" s="4"/>
    </row>
    <row r="242" spans="1:6" ht="9">
      <c r="A242" s="4"/>
      <c r="B242" s="4"/>
      <c r="D242" s="4"/>
      <c r="E242" s="4"/>
      <c r="F242" s="4"/>
    </row>
  </sheetData>
  <sheetProtection/>
  <mergeCells count="6">
    <mergeCell ref="A5:G5"/>
    <mergeCell ref="A74:B74"/>
    <mergeCell ref="A6:B6"/>
    <mergeCell ref="A1:G1"/>
    <mergeCell ref="A2:G2"/>
    <mergeCell ref="A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8.8515625" style="39" bestFit="1" customWidth="1"/>
    <col min="2" max="2" width="41.00390625" style="39" bestFit="1" customWidth="1"/>
    <col min="3" max="4" width="17.28125" style="39" bestFit="1" customWidth="1"/>
    <col min="5" max="5" width="17.140625" style="39" bestFit="1" customWidth="1"/>
    <col min="6" max="6" width="11.28125" style="39" bestFit="1" customWidth="1"/>
    <col min="7" max="7" width="12.8515625" style="39" bestFit="1" customWidth="1"/>
    <col min="8" max="16384" width="11.421875" style="39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38"/>
    </row>
    <row r="2" spans="1:7" ht="12.75">
      <c r="A2" s="37" t="s">
        <v>1</v>
      </c>
      <c r="B2" s="37"/>
      <c r="C2" s="37"/>
      <c r="D2" s="37"/>
      <c r="E2" s="37"/>
      <c r="F2" s="37"/>
      <c r="G2" s="38"/>
    </row>
    <row r="3" spans="1:7" ht="12.75">
      <c r="A3" s="37" t="s">
        <v>2</v>
      </c>
      <c r="B3" s="37"/>
      <c r="C3" s="37"/>
      <c r="D3" s="37"/>
      <c r="E3" s="37"/>
      <c r="F3" s="37"/>
      <c r="G3" s="38"/>
    </row>
    <row r="5" spans="1:6" ht="21" customHeight="1">
      <c r="A5" s="68" t="s">
        <v>75</v>
      </c>
      <c r="B5" s="69"/>
      <c r="C5" s="69"/>
      <c r="D5" s="69"/>
      <c r="E5" s="69"/>
      <c r="F5" s="70"/>
    </row>
    <row r="6" spans="1:6" s="47" customFormat="1" ht="20.25">
      <c r="A6" s="43" t="s">
        <v>47</v>
      </c>
      <c r="B6" s="44" t="s">
        <v>41</v>
      </c>
      <c r="C6" s="44" t="s">
        <v>42</v>
      </c>
      <c r="D6" s="45" t="s">
        <v>43</v>
      </c>
      <c r="E6" s="45" t="s">
        <v>48</v>
      </c>
      <c r="F6" s="46" t="s">
        <v>49</v>
      </c>
    </row>
    <row r="7" spans="1:6" s="47" customFormat="1" ht="13.5" customHeight="1">
      <c r="A7" s="48" t="s">
        <v>50</v>
      </c>
      <c r="B7" s="49" t="s">
        <v>51</v>
      </c>
      <c r="C7" s="50">
        <v>400000000</v>
      </c>
      <c r="D7" s="50">
        <v>482333814.36</v>
      </c>
      <c r="E7" s="50">
        <f>C7-D7</f>
        <v>-82333814.36000001</v>
      </c>
      <c r="F7" s="51">
        <f>D7/C7</f>
        <v>1.2058345359</v>
      </c>
    </row>
    <row r="8" spans="1:6" s="47" customFormat="1" ht="13.5" customHeight="1">
      <c r="A8" s="52" t="s">
        <v>52</v>
      </c>
      <c r="B8" s="53" t="s">
        <v>53</v>
      </c>
      <c r="C8" s="54">
        <v>150650000</v>
      </c>
      <c r="D8" s="54">
        <v>145111595.38</v>
      </c>
      <c r="E8" s="54">
        <f aca="true" t="shared" si="0" ref="E8:E20">C8-D8</f>
        <v>5538404.620000005</v>
      </c>
      <c r="F8" s="55">
        <f aca="true" t="shared" si="1" ref="F8:F22">D8/C8</f>
        <v>0.9632366105542648</v>
      </c>
    </row>
    <row r="9" spans="1:6" s="47" customFormat="1" ht="13.5" customHeight="1">
      <c r="A9" s="52" t="s">
        <v>54</v>
      </c>
      <c r="B9" s="53" t="s">
        <v>55</v>
      </c>
      <c r="C9" s="54">
        <v>0</v>
      </c>
      <c r="D9" s="54">
        <v>2000759.5</v>
      </c>
      <c r="E9" s="54">
        <f t="shared" si="0"/>
        <v>-2000759.5</v>
      </c>
      <c r="F9" s="55">
        <v>0</v>
      </c>
    </row>
    <row r="10" spans="1:6" s="47" customFormat="1" ht="13.5" customHeight="1">
      <c r="A10" s="52" t="s">
        <v>56</v>
      </c>
      <c r="B10" s="53" t="s">
        <v>57</v>
      </c>
      <c r="C10" s="54">
        <v>3892782650</v>
      </c>
      <c r="D10" s="54">
        <v>3599465171.24</v>
      </c>
      <c r="E10" s="54">
        <f t="shared" si="0"/>
        <v>293317478.7600002</v>
      </c>
      <c r="F10" s="55">
        <f t="shared" si="1"/>
        <v>0.9246509489143967</v>
      </c>
    </row>
    <row r="11" spans="1:6" s="47" customFormat="1" ht="13.5" customHeight="1">
      <c r="A11" s="52" t="s">
        <v>58</v>
      </c>
      <c r="B11" s="53" t="s">
        <v>59</v>
      </c>
      <c r="C11" s="54">
        <v>2350750000</v>
      </c>
      <c r="D11" s="54">
        <v>2981818444.36</v>
      </c>
      <c r="E11" s="54">
        <f t="shared" si="0"/>
        <v>-631068444.3600001</v>
      </c>
      <c r="F11" s="55">
        <f t="shared" si="1"/>
        <v>1.2684540867212593</v>
      </c>
    </row>
    <row r="12" spans="1:6" s="47" customFormat="1" ht="13.5" customHeight="1">
      <c r="A12" s="52" t="s">
        <v>60</v>
      </c>
      <c r="B12" s="53" t="s">
        <v>61</v>
      </c>
      <c r="C12" s="54">
        <v>7280676220</v>
      </c>
      <c r="D12" s="54">
        <v>7719817231.32</v>
      </c>
      <c r="E12" s="54">
        <f t="shared" si="0"/>
        <v>-439141011.3199997</v>
      </c>
      <c r="F12" s="55">
        <f t="shared" si="1"/>
        <v>1.0603159648981066</v>
      </c>
    </row>
    <row r="13" spans="1:6" s="47" customFormat="1" ht="13.5" customHeight="1">
      <c r="A13" s="52" t="s">
        <v>62</v>
      </c>
      <c r="B13" s="53" t="s">
        <v>63</v>
      </c>
      <c r="C13" s="54">
        <v>51000000</v>
      </c>
      <c r="D13" s="54">
        <v>358255165</v>
      </c>
      <c r="E13" s="54">
        <f t="shared" si="0"/>
        <v>-307255165</v>
      </c>
      <c r="F13" s="55">
        <f t="shared" si="1"/>
        <v>7.024611078431373</v>
      </c>
    </row>
    <row r="14" spans="1:6" s="47" customFormat="1" ht="13.5" customHeight="1">
      <c r="A14" s="52" t="s">
        <v>64</v>
      </c>
      <c r="B14" s="53" t="s">
        <v>65</v>
      </c>
      <c r="C14" s="54">
        <v>123300000</v>
      </c>
      <c r="D14" s="54">
        <v>298475645.2</v>
      </c>
      <c r="E14" s="54">
        <f t="shared" si="0"/>
        <v>-175175645.2</v>
      </c>
      <c r="F14" s="55">
        <f t="shared" si="1"/>
        <v>2.4207270494728306</v>
      </c>
    </row>
    <row r="15" spans="1:6" s="47" customFormat="1" ht="13.5" customHeight="1">
      <c r="A15" s="52" t="s">
        <v>66</v>
      </c>
      <c r="B15" s="53" t="s">
        <v>67</v>
      </c>
      <c r="C15" s="54">
        <v>286705192659</v>
      </c>
      <c r="D15" s="54">
        <v>286628320137.99</v>
      </c>
      <c r="E15" s="54">
        <f t="shared" si="0"/>
        <v>76872521.01000977</v>
      </c>
      <c r="F15" s="55">
        <f>D15/C15</f>
        <v>0.9997318760769658</v>
      </c>
    </row>
    <row r="16" spans="1:6" s="47" customFormat="1" ht="13.5" customHeight="1">
      <c r="A16" s="56">
        <v>10</v>
      </c>
      <c r="B16" s="53" t="s">
        <v>68</v>
      </c>
      <c r="C16" s="54">
        <v>294646528.81</v>
      </c>
      <c r="D16" s="54">
        <v>261150025.35</v>
      </c>
      <c r="E16" s="54">
        <f t="shared" si="0"/>
        <v>33496503.46000001</v>
      </c>
      <c r="F16" s="55">
        <f t="shared" si="1"/>
        <v>0.8863163140075547</v>
      </c>
    </row>
    <row r="17" spans="1:6" s="47" customFormat="1" ht="13.5" customHeight="1">
      <c r="A17" s="56">
        <v>11</v>
      </c>
      <c r="B17" s="53" t="s">
        <v>69</v>
      </c>
      <c r="C17" s="54">
        <v>67092130</v>
      </c>
      <c r="D17" s="54">
        <v>245453638.72</v>
      </c>
      <c r="E17" s="54">
        <f t="shared" si="0"/>
        <v>-178361508.72</v>
      </c>
      <c r="F17" s="55">
        <f t="shared" si="1"/>
        <v>3.6584564943757187</v>
      </c>
    </row>
    <row r="18" spans="1:6" s="47" customFormat="1" ht="13.5" customHeight="1">
      <c r="A18" s="56">
        <v>12</v>
      </c>
      <c r="B18" s="53" t="s">
        <v>70</v>
      </c>
      <c r="C18" s="54">
        <v>2672043875.36</v>
      </c>
      <c r="D18" s="54">
        <v>3573774775.81</v>
      </c>
      <c r="E18" s="54">
        <f t="shared" si="0"/>
        <v>-901730900.4499998</v>
      </c>
      <c r="F18" s="55">
        <f t="shared" si="1"/>
        <v>1.3374685980141368</v>
      </c>
    </row>
    <row r="19" spans="1:6" s="47" customFormat="1" ht="13.5" customHeight="1">
      <c r="A19" s="56">
        <v>13</v>
      </c>
      <c r="B19" s="53" t="s">
        <v>76</v>
      </c>
      <c r="C19" s="54">
        <v>100000000</v>
      </c>
      <c r="D19" s="54">
        <v>91250000</v>
      </c>
      <c r="E19" s="54">
        <f t="shared" si="0"/>
        <v>8750000</v>
      </c>
      <c r="F19" s="55">
        <f t="shared" si="1"/>
        <v>0.9125</v>
      </c>
    </row>
    <row r="20" spans="1:6" s="47" customFormat="1" ht="13.5" customHeight="1">
      <c r="A20" s="56">
        <v>14</v>
      </c>
      <c r="B20" s="53" t="s">
        <v>71</v>
      </c>
      <c r="C20" s="54">
        <v>3993640000</v>
      </c>
      <c r="D20" s="54">
        <v>3698077408.08</v>
      </c>
      <c r="E20" s="54">
        <f t="shared" si="0"/>
        <v>295562591.9200001</v>
      </c>
      <c r="F20" s="55">
        <f t="shared" si="1"/>
        <v>0.9259916787892749</v>
      </c>
    </row>
    <row r="21" spans="1:6" s="47" customFormat="1" ht="13.5" customHeight="1">
      <c r="A21" s="56">
        <v>15</v>
      </c>
      <c r="B21" s="53" t="s">
        <v>72</v>
      </c>
      <c r="C21" s="54">
        <v>28949686632.84</v>
      </c>
      <c r="D21" s="54">
        <v>38545864214.99</v>
      </c>
      <c r="E21" s="54">
        <f>C21-D21</f>
        <v>-9596177582.149998</v>
      </c>
      <c r="F21" s="55">
        <f>D21/C21</f>
        <v>1.3314777705145957</v>
      </c>
    </row>
    <row r="22" spans="1:6" s="47" customFormat="1" ht="13.5" customHeight="1">
      <c r="A22" s="56">
        <v>16</v>
      </c>
      <c r="B22" s="57" t="s">
        <v>73</v>
      </c>
      <c r="C22" s="54">
        <v>3480376584</v>
      </c>
      <c r="D22" s="54">
        <v>8338493425.37</v>
      </c>
      <c r="E22" s="54">
        <f>C22-D22</f>
        <v>-4858116841.37</v>
      </c>
      <c r="F22" s="55">
        <f t="shared" si="1"/>
        <v>2.395859535345615</v>
      </c>
    </row>
    <row r="23" spans="1:7" s="67" customFormat="1" ht="15" customHeight="1">
      <c r="A23" s="62"/>
      <c r="B23" s="63" t="s">
        <v>74</v>
      </c>
      <c r="C23" s="64">
        <f>SUM(C7:C22)</f>
        <v>340511837280.01</v>
      </c>
      <c r="D23" s="64">
        <f>SUM(D7:D22)</f>
        <v>356969661452.6699</v>
      </c>
      <c r="E23" s="64">
        <f>SUM(E7:E22)</f>
        <v>-16457824172.659988</v>
      </c>
      <c r="F23" s="65">
        <f>D23/C23</f>
        <v>1.0483326051279864</v>
      </c>
      <c r="G23" s="66"/>
    </row>
    <row r="24" s="47" customFormat="1" ht="9.75"/>
  </sheetData>
  <sheetProtection/>
  <mergeCells count="4">
    <mergeCell ref="A1:F1"/>
    <mergeCell ref="A2:F2"/>
    <mergeCell ref="A3:F3"/>
    <mergeCell ref="A5:F5"/>
  </mergeCells>
  <printOptions/>
  <pageMargins left="0.9645669291338583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K19" sqref="K19"/>
    </sheetView>
  </sheetViews>
  <sheetFormatPr defaultColWidth="11.421875" defaultRowHeight="15"/>
  <cols>
    <col min="1" max="1" width="2.28125" style="73" bestFit="1" customWidth="1"/>
    <col min="2" max="2" width="16.421875" style="74" customWidth="1"/>
    <col min="3" max="3" width="22.140625" style="72" bestFit="1" customWidth="1"/>
    <col min="4" max="5" width="13.421875" style="72" bestFit="1" customWidth="1"/>
    <col min="6" max="7" width="12.7109375" style="72" bestFit="1" customWidth="1"/>
    <col min="8" max="8" width="10.7109375" style="74" bestFit="1" customWidth="1"/>
    <col min="9" max="9" width="14.7109375" style="71" bestFit="1" customWidth="1"/>
    <col min="10" max="16384" width="11.421875" style="72" customWidth="1"/>
  </cols>
  <sheetData>
    <row r="1" spans="1:8" ht="12.75">
      <c r="A1" s="37" t="s">
        <v>0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2</v>
      </c>
      <c r="B3" s="37"/>
      <c r="C3" s="37"/>
      <c r="D3" s="37"/>
      <c r="E3" s="37"/>
      <c r="F3" s="37"/>
      <c r="G3" s="37"/>
      <c r="H3" s="37"/>
    </row>
    <row r="4" spans="9:11" ht="9">
      <c r="I4" s="75"/>
      <c r="J4" s="75"/>
      <c r="K4" s="75"/>
    </row>
    <row r="5" spans="1:17" s="78" customFormat="1" ht="18.75" customHeight="1">
      <c r="A5" s="76" t="s">
        <v>102</v>
      </c>
      <c r="B5" s="76"/>
      <c r="C5" s="76"/>
      <c r="D5" s="76"/>
      <c r="E5" s="76"/>
      <c r="F5" s="76"/>
      <c r="G5" s="76"/>
      <c r="H5" s="76"/>
      <c r="I5" s="75"/>
      <c r="J5" s="75"/>
      <c r="K5" s="77"/>
      <c r="L5" s="77"/>
      <c r="M5" s="77"/>
      <c r="N5" s="77"/>
      <c r="O5" s="77"/>
      <c r="P5" s="77"/>
      <c r="Q5" s="77"/>
    </row>
    <row r="6" spans="1:17" s="82" customFormat="1" ht="28.5">
      <c r="A6" s="79" t="s">
        <v>40</v>
      </c>
      <c r="B6" s="79"/>
      <c r="C6" s="80" t="s">
        <v>41</v>
      </c>
      <c r="D6" s="80" t="s">
        <v>42</v>
      </c>
      <c r="E6" s="80" t="s">
        <v>77</v>
      </c>
      <c r="F6" s="80" t="s">
        <v>78</v>
      </c>
      <c r="G6" s="80" t="s">
        <v>79</v>
      </c>
      <c r="H6" s="81" t="s">
        <v>80</v>
      </c>
      <c r="I6" s="75"/>
      <c r="J6" s="75"/>
      <c r="K6" s="77"/>
      <c r="L6" s="77"/>
      <c r="M6" s="77"/>
      <c r="N6" s="77"/>
      <c r="O6" s="77"/>
      <c r="P6" s="77"/>
      <c r="Q6" s="77"/>
    </row>
    <row r="7" spans="1:17" s="82" customFormat="1" ht="7.5" customHeight="1">
      <c r="A7" s="19"/>
      <c r="C7" s="83"/>
      <c r="D7" s="84"/>
      <c r="E7" s="84"/>
      <c r="F7" s="84"/>
      <c r="G7" s="84"/>
      <c r="H7" s="28"/>
      <c r="I7" s="75"/>
      <c r="J7" s="75"/>
      <c r="K7" s="77"/>
      <c r="L7" s="77"/>
      <c r="M7" s="77"/>
      <c r="N7" s="77"/>
      <c r="O7" s="77"/>
      <c r="P7" s="77"/>
      <c r="Q7" s="77"/>
    </row>
    <row r="8" spans="1:8" s="77" customFormat="1" ht="10.5" customHeight="1">
      <c r="A8" s="19">
        <v>1</v>
      </c>
      <c r="B8" s="3" t="s">
        <v>81</v>
      </c>
      <c r="C8" s="83" t="s">
        <v>82</v>
      </c>
      <c r="D8" s="84">
        <v>198691776947.09</v>
      </c>
      <c r="E8" s="84">
        <v>197874279643.52</v>
      </c>
      <c r="F8" s="84">
        <v>0</v>
      </c>
      <c r="G8" s="84">
        <f aca="true" t="shared" si="0" ref="G8:G13">D8-E8-F8</f>
        <v>817497303.5700073</v>
      </c>
      <c r="H8" s="28">
        <f>(E8+F8)/D8</f>
        <v>0.9958856007222296</v>
      </c>
    </row>
    <row r="9" spans="1:8" s="77" customFormat="1" ht="10.5" customHeight="1">
      <c r="A9" s="19"/>
      <c r="B9" s="3"/>
      <c r="C9" s="83" t="s">
        <v>83</v>
      </c>
      <c r="D9" s="84">
        <v>17412461050.55</v>
      </c>
      <c r="E9" s="84">
        <v>13780873197.92</v>
      </c>
      <c r="F9" s="84">
        <v>1794743588.01</v>
      </c>
      <c r="G9" s="84">
        <f t="shared" si="0"/>
        <v>1836844264.6199992</v>
      </c>
      <c r="H9" s="28">
        <f aca="true" t="shared" si="1" ref="H9:H20">(E9+F9)/D9</f>
        <v>0.8945097847290243</v>
      </c>
    </row>
    <row r="10" spans="1:8" s="77" customFormat="1" ht="10.5" customHeight="1">
      <c r="A10" s="19"/>
      <c r="B10" s="3"/>
      <c r="C10" s="83" t="s">
        <v>84</v>
      </c>
      <c r="D10" s="84">
        <v>5092232659.33</v>
      </c>
      <c r="E10" s="84">
        <v>3957623342.14</v>
      </c>
      <c r="F10" s="84">
        <v>709988649.65</v>
      </c>
      <c r="G10" s="84">
        <f t="shared" si="0"/>
        <v>424620667.5400001</v>
      </c>
      <c r="H10" s="28">
        <f t="shared" si="1"/>
        <v>0.9166140481107027</v>
      </c>
    </row>
    <row r="11" spans="1:8" s="77" customFormat="1" ht="10.5" customHeight="1">
      <c r="A11" s="19"/>
      <c r="B11" s="3"/>
      <c r="C11" s="83" t="s">
        <v>85</v>
      </c>
      <c r="D11" s="84">
        <v>203166019.21</v>
      </c>
      <c r="E11" s="84">
        <v>201048436.72</v>
      </c>
      <c r="F11" s="84">
        <v>0</v>
      </c>
      <c r="G11" s="84">
        <f t="shared" si="0"/>
        <v>2117582.4900000095</v>
      </c>
      <c r="H11" s="28">
        <f t="shared" si="1"/>
        <v>0.9895770833221318</v>
      </c>
    </row>
    <row r="12" spans="1:8" s="77" customFormat="1" ht="10.5" customHeight="1">
      <c r="A12" s="19"/>
      <c r="B12" s="3"/>
      <c r="C12" s="83" t="s">
        <v>86</v>
      </c>
      <c r="D12" s="84">
        <v>14436158224.21</v>
      </c>
      <c r="E12" s="84">
        <v>7697103449.69</v>
      </c>
      <c r="F12" s="84">
        <v>3697029390.54</v>
      </c>
      <c r="G12" s="84">
        <f t="shared" si="0"/>
        <v>3042025383.9799995</v>
      </c>
      <c r="H12" s="28">
        <f t="shared" si="1"/>
        <v>0.7892773592022284</v>
      </c>
    </row>
    <row r="13" spans="1:8" s="77" customFormat="1" ht="10.5" customHeight="1">
      <c r="A13" s="19"/>
      <c r="B13" s="3"/>
      <c r="C13" s="83" t="s">
        <v>87</v>
      </c>
      <c r="D13" s="100">
        <v>47693957174.67</v>
      </c>
      <c r="E13" s="100">
        <v>45628182468.32</v>
      </c>
      <c r="F13" s="100">
        <v>174222929.87</v>
      </c>
      <c r="G13" s="100">
        <f t="shared" si="0"/>
        <v>1891551776.4799986</v>
      </c>
      <c r="H13" s="31">
        <f t="shared" si="1"/>
        <v>0.9603398021776103</v>
      </c>
    </row>
    <row r="14" spans="1:11" s="25" customFormat="1" ht="16.5" customHeight="1">
      <c r="A14" s="19"/>
      <c r="B14" s="3"/>
      <c r="C14" s="21" t="s">
        <v>89</v>
      </c>
      <c r="D14" s="22">
        <f>SUM(D8:D13)</f>
        <v>283529752075.05994</v>
      </c>
      <c r="E14" s="22">
        <f>SUM(E8:E13)</f>
        <v>269139110538.31003</v>
      </c>
      <c r="F14" s="22">
        <f>SUM(F8:F13)</f>
        <v>6375984558.07</v>
      </c>
      <c r="G14" s="22">
        <f>SUM(G8:G13)</f>
        <v>8014656978.680004</v>
      </c>
      <c r="H14" s="85">
        <f>(E14+F14)/D14</f>
        <v>0.97173257155546</v>
      </c>
      <c r="I14" s="77"/>
      <c r="J14" s="77"/>
      <c r="K14" s="77"/>
    </row>
    <row r="15" spans="1:8" s="77" customFormat="1" ht="10.5" customHeight="1">
      <c r="A15" s="19">
        <v>2</v>
      </c>
      <c r="B15" s="3" t="s">
        <v>90</v>
      </c>
      <c r="C15" s="83" t="s">
        <v>82</v>
      </c>
      <c r="D15" s="84">
        <v>1053602823.76</v>
      </c>
      <c r="E15" s="84">
        <v>928133043.98</v>
      </c>
      <c r="F15" s="84">
        <v>0</v>
      </c>
      <c r="G15" s="84">
        <f aca="true" t="shared" si="2" ref="G15:G20">D15-E15-F15</f>
        <v>125469779.77999997</v>
      </c>
      <c r="H15" s="28">
        <f t="shared" si="1"/>
        <v>0.8809135881657615</v>
      </c>
    </row>
    <row r="16" spans="1:8" s="77" customFormat="1" ht="10.5" customHeight="1">
      <c r="A16" s="19"/>
      <c r="B16" s="3"/>
      <c r="C16" s="83" t="s">
        <v>83</v>
      </c>
      <c r="D16" s="84">
        <v>1107327510.43</v>
      </c>
      <c r="E16" s="84">
        <v>773557982.69</v>
      </c>
      <c r="F16" s="84">
        <v>14987353.4</v>
      </c>
      <c r="G16" s="84">
        <f t="shared" si="2"/>
        <v>318782174.34000003</v>
      </c>
      <c r="H16" s="28">
        <f t="shared" si="1"/>
        <v>0.7121157278787287</v>
      </c>
    </row>
    <row r="17" spans="1:8" s="77" customFormat="1" ht="10.5" customHeight="1">
      <c r="A17" s="19"/>
      <c r="B17" s="3"/>
      <c r="C17" s="83" t="s">
        <v>84</v>
      </c>
      <c r="D17" s="84">
        <v>341741008.48</v>
      </c>
      <c r="E17" s="84">
        <v>163019263.83</v>
      </c>
      <c r="F17" s="84">
        <v>25887448.86</v>
      </c>
      <c r="G17" s="84">
        <f t="shared" si="2"/>
        <v>152834295.79000002</v>
      </c>
      <c r="H17" s="28">
        <f t="shared" si="1"/>
        <v>0.5527774191637745</v>
      </c>
    </row>
    <row r="18" spans="1:8" s="77" customFormat="1" ht="10.5" customHeight="1">
      <c r="A18" s="19"/>
      <c r="B18" s="3"/>
      <c r="C18" s="83" t="s">
        <v>85</v>
      </c>
      <c r="D18" s="84">
        <v>105000</v>
      </c>
      <c r="E18" s="84">
        <v>104440.59</v>
      </c>
      <c r="F18" s="84">
        <v>0</v>
      </c>
      <c r="G18" s="84">
        <f t="shared" si="2"/>
        <v>559.4100000000035</v>
      </c>
      <c r="H18" s="28">
        <f>(E18+F18)/D18</f>
        <v>0.9946722857142857</v>
      </c>
    </row>
    <row r="19" spans="1:8" s="77" customFormat="1" ht="10.5" customHeight="1">
      <c r="A19" s="19"/>
      <c r="B19" s="3"/>
      <c r="C19" s="83" t="s">
        <v>86</v>
      </c>
      <c r="D19" s="84">
        <v>688266527.25</v>
      </c>
      <c r="E19" s="84">
        <v>139385910.61</v>
      </c>
      <c r="F19" s="84">
        <v>170280779.18</v>
      </c>
      <c r="G19" s="84">
        <f t="shared" si="2"/>
        <v>378599837.46</v>
      </c>
      <c r="H19" s="28">
        <f t="shared" si="1"/>
        <v>0.44992263538848426</v>
      </c>
    </row>
    <row r="20" spans="1:8" s="77" customFormat="1" ht="10.5" customHeight="1">
      <c r="A20" s="19"/>
      <c r="B20" s="3"/>
      <c r="C20" s="83" t="s">
        <v>87</v>
      </c>
      <c r="D20" s="100">
        <v>244457130.08</v>
      </c>
      <c r="E20" s="100">
        <v>135477806.48</v>
      </c>
      <c r="F20" s="100">
        <v>0</v>
      </c>
      <c r="G20" s="100">
        <f t="shared" si="2"/>
        <v>108979323.60000002</v>
      </c>
      <c r="H20" s="31">
        <f t="shared" si="1"/>
        <v>0.5541986295742901</v>
      </c>
    </row>
    <row r="21" spans="1:11" s="25" customFormat="1" ht="16.5" customHeight="1">
      <c r="A21" s="19"/>
      <c r="B21" s="3"/>
      <c r="C21" s="21" t="s">
        <v>89</v>
      </c>
      <c r="D21" s="22">
        <f>SUM(D15:D20)</f>
        <v>3435500000</v>
      </c>
      <c r="E21" s="22">
        <f>SUM(E15:E20)</f>
        <v>2139678448.1799998</v>
      </c>
      <c r="F21" s="22">
        <f>SUM(F15:F20)</f>
        <v>211155581.44</v>
      </c>
      <c r="G21" s="22">
        <f>SUM(G15:G20)</f>
        <v>1084665970.38</v>
      </c>
      <c r="H21" s="85">
        <f aca="true" t="shared" si="3" ref="H21:H38">(E21+F21)/D21</f>
        <v>0.6842771153019939</v>
      </c>
      <c r="I21" s="77"/>
      <c r="J21" s="77"/>
      <c r="K21" s="77"/>
    </row>
    <row r="22" spans="1:8" s="77" customFormat="1" ht="10.5" customHeight="1">
      <c r="A22" s="19">
        <v>3</v>
      </c>
      <c r="B22" s="3" t="s">
        <v>91</v>
      </c>
      <c r="C22" s="83" t="s">
        <v>83</v>
      </c>
      <c r="D22" s="84">
        <v>783950013.46</v>
      </c>
      <c r="E22" s="84">
        <v>599322651.29</v>
      </c>
      <c r="F22" s="84">
        <v>100098129.7</v>
      </c>
      <c r="G22" s="84">
        <f>D22-E22-F22</f>
        <v>84529232.47000007</v>
      </c>
      <c r="H22" s="28">
        <f t="shared" si="3"/>
        <v>0.8921752267125728</v>
      </c>
    </row>
    <row r="23" spans="1:8" s="77" customFormat="1" ht="10.5" customHeight="1">
      <c r="A23" s="19"/>
      <c r="B23" s="3"/>
      <c r="C23" s="83" t="s">
        <v>84</v>
      </c>
      <c r="D23" s="84">
        <v>13324021.45</v>
      </c>
      <c r="E23" s="84">
        <v>0</v>
      </c>
      <c r="F23" s="84">
        <v>0</v>
      </c>
      <c r="G23" s="84">
        <f>D23-E23-F23</f>
        <v>13324021.45</v>
      </c>
      <c r="H23" s="28">
        <f t="shared" si="3"/>
        <v>0</v>
      </c>
    </row>
    <row r="24" spans="1:8" s="77" customFormat="1" ht="10.5" customHeight="1">
      <c r="A24" s="19"/>
      <c r="B24" s="3"/>
      <c r="C24" s="83" t="s">
        <v>85</v>
      </c>
      <c r="D24" s="84">
        <v>3941819841.74</v>
      </c>
      <c r="E24" s="84">
        <v>3941820296.74</v>
      </c>
      <c r="F24" s="84">
        <v>0</v>
      </c>
      <c r="G24" s="84">
        <f>D24-E24-F24</f>
        <v>-455</v>
      </c>
      <c r="H24" s="28">
        <f t="shared" si="3"/>
        <v>1.0000001154289182</v>
      </c>
    </row>
    <row r="25" spans="1:8" s="77" customFormat="1" ht="10.5" customHeight="1">
      <c r="A25" s="19"/>
      <c r="B25" s="3"/>
      <c r="C25" s="83" t="s">
        <v>86</v>
      </c>
      <c r="D25" s="84">
        <v>12638370939.56</v>
      </c>
      <c r="E25" s="84">
        <v>2297174423.21</v>
      </c>
      <c r="F25" s="84">
        <v>4253098827.57</v>
      </c>
      <c r="G25" s="84">
        <f>D25-E25-F25</f>
        <v>6088097688.779999</v>
      </c>
      <c r="H25" s="28">
        <f t="shared" si="3"/>
        <v>0.5182846177015316</v>
      </c>
    </row>
    <row r="26" spans="1:8" s="77" customFormat="1" ht="10.5" customHeight="1">
      <c r="A26" s="19"/>
      <c r="B26" s="3"/>
      <c r="C26" s="83" t="s">
        <v>92</v>
      </c>
      <c r="D26" s="30">
        <v>6574138997.54</v>
      </c>
      <c r="E26" s="100">
        <v>6574138997.08</v>
      </c>
      <c r="F26" s="100">
        <v>0</v>
      </c>
      <c r="G26" s="100">
        <f>D26-E26-F26</f>
        <v>0.46000003814697266</v>
      </c>
      <c r="H26" s="31">
        <f t="shared" si="3"/>
        <v>0.9999999999300289</v>
      </c>
    </row>
    <row r="27" spans="1:11" s="25" customFormat="1" ht="16.5" customHeight="1">
      <c r="A27" s="19"/>
      <c r="B27" s="3"/>
      <c r="C27" s="21" t="s">
        <v>89</v>
      </c>
      <c r="D27" s="22">
        <f>SUM(D22:D26)</f>
        <v>23951603813.75</v>
      </c>
      <c r="E27" s="22">
        <f>SUM(E22:E26)</f>
        <v>13412456368.32</v>
      </c>
      <c r="F27" s="22">
        <f>SUM(F22:F26)</f>
        <v>4353196957.27</v>
      </c>
      <c r="G27" s="22">
        <f>SUM(G22:G26)</f>
        <v>6185950488.159999</v>
      </c>
      <c r="H27" s="85">
        <f t="shared" si="3"/>
        <v>0.7417312620790427</v>
      </c>
      <c r="I27" s="77"/>
      <c r="J27" s="77"/>
      <c r="K27" s="77"/>
    </row>
    <row r="28" spans="1:8" s="77" customFormat="1" ht="10.5" customHeight="1">
      <c r="A28" s="19">
        <v>4</v>
      </c>
      <c r="B28" s="3" t="s">
        <v>93</v>
      </c>
      <c r="C28" s="83" t="s">
        <v>94</v>
      </c>
      <c r="D28" s="100">
        <v>3250000</v>
      </c>
      <c r="E28" s="100">
        <v>500000</v>
      </c>
      <c r="F28" s="100">
        <v>0</v>
      </c>
      <c r="G28" s="100">
        <f>D28-E28-F28</f>
        <v>2750000</v>
      </c>
      <c r="H28" s="31">
        <f t="shared" si="3"/>
        <v>0.15384615384615385</v>
      </c>
    </row>
    <row r="29" spans="1:11" s="25" customFormat="1" ht="16.5" customHeight="1">
      <c r="A29" s="19"/>
      <c r="B29" s="3"/>
      <c r="C29" s="21" t="s">
        <v>89</v>
      </c>
      <c r="D29" s="22">
        <f>SUM(D28)</f>
        <v>3250000</v>
      </c>
      <c r="E29" s="22">
        <f>SUM(E28)</f>
        <v>500000</v>
      </c>
      <c r="F29" s="22">
        <f>SUM(F28)</f>
        <v>0</v>
      </c>
      <c r="G29" s="22">
        <f>SUM(G28)</f>
        <v>2750000</v>
      </c>
      <c r="H29" s="85">
        <f t="shared" si="3"/>
        <v>0.15384615384615385</v>
      </c>
      <c r="I29" s="77"/>
      <c r="J29" s="77"/>
      <c r="K29" s="77"/>
    </row>
    <row r="30" spans="1:8" s="77" customFormat="1" ht="10.5" customHeight="1">
      <c r="A30" s="19">
        <v>5</v>
      </c>
      <c r="B30" s="3" t="s">
        <v>95</v>
      </c>
      <c r="C30" s="83" t="s">
        <v>82</v>
      </c>
      <c r="D30" s="84">
        <v>3711401702.26</v>
      </c>
      <c r="E30" s="84">
        <v>3247007222.11</v>
      </c>
      <c r="F30" s="84">
        <v>0</v>
      </c>
      <c r="G30" s="84">
        <f aca="true" t="shared" si="4" ref="G30:G36">D30-E30-F30</f>
        <v>464394480.1500001</v>
      </c>
      <c r="H30" s="28">
        <f t="shared" si="3"/>
        <v>0.8748735606099404</v>
      </c>
    </row>
    <row r="31" spans="1:8" s="77" customFormat="1" ht="10.5" customHeight="1">
      <c r="A31" s="19"/>
      <c r="B31" s="3"/>
      <c r="C31" s="83" t="s">
        <v>83</v>
      </c>
      <c r="D31" s="84">
        <v>936176069.13</v>
      </c>
      <c r="E31" s="84">
        <v>757814541.51</v>
      </c>
      <c r="F31" s="84">
        <v>83156680.19</v>
      </c>
      <c r="G31" s="84">
        <f t="shared" si="4"/>
        <v>95204847.43</v>
      </c>
      <c r="H31" s="28">
        <f t="shared" si="3"/>
        <v>0.8983045491448259</v>
      </c>
    </row>
    <row r="32" spans="1:8" s="77" customFormat="1" ht="10.5" customHeight="1">
      <c r="A32" s="19"/>
      <c r="B32" s="3"/>
      <c r="C32" s="83" t="s">
        <v>84</v>
      </c>
      <c r="D32" s="84">
        <v>541030518.83</v>
      </c>
      <c r="E32" s="84">
        <v>351881406.18</v>
      </c>
      <c r="F32" s="84">
        <v>151254340.32</v>
      </c>
      <c r="G32" s="84">
        <f t="shared" si="4"/>
        <v>37894772.33000004</v>
      </c>
      <c r="H32" s="28">
        <f t="shared" si="3"/>
        <v>0.9299581613030833</v>
      </c>
    </row>
    <row r="33" spans="1:8" s="77" customFormat="1" ht="10.5" customHeight="1">
      <c r="A33" s="19"/>
      <c r="B33" s="3"/>
      <c r="C33" s="83" t="s">
        <v>85</v>
      </c>
      <c r="D33" s="84">
        <v>522000</v>
      </c>
      <c r="E33" s="84">
        <v>1520.77</v>
      </c>
      <c r="F33" s="84">
        <v>0</v>
      </c>
      <c r="G33" s="84">
        <f t="shared" si="4"/>
        <v>520479.23</v>
      </c>
      <c r="H33" s="28">
        <f t="shared" si="3"/>
        <v>0.0029133524904214557</v>
      </c>
    </row>
    <row r="34" spans="1:8" s="77" customFormat="1" ht="10.5" customHeight="1">
      <c r="A34" s="19"/>
      <c r="B34" s="3"/>
      <c r="C34" s="83" t="s">
        <v>94</v>
      </c>
      <c r="D34" s="84">
        <v>2444011775.82</v>
      </c>
      <c r="E34" s="84">
        <v>2444011775.82</v>
      </c>
      <c r="F34" s="84">
        <v>0</v>
      </c>
      <c r="G34" s="84">
        <f>D34-E34-F34</f>
        <v>0</v>
      </c>
      <c r="H34" s="28">
        <f>(E34+F34)/D34</f>
        <v>1</v>
      </c>
    </row>
    <row r="35" spans="1:8" s="77" customFormat="1" ht="10.5" customHeight="1">
      <c r="A35" s="19"/>
      <c r="B35" s="3"/>
      <c r="C35" s="83" t="s">
        <v>86</v>
      </c>
      <c r="D35" s="84">
        <v>3746476302.38</v>
      </c>
      <c r="E35" s="84">
        <v>1757330058.09</v>
      </c>
      <c r="F35" s="84">
        <v>1567379384.63</v>
      </c>
      <c r="G35" s="84">
        <f t="shared" si="4"/>
        <v>421766859.6600001</v>
      </c>
      <c r="H35" s="28">
        <f t="shared" si="3"/>
        <v>0.8874230541930649</v>
      </c>
    </row>
    <row r="36" spans="1:8" s="77" customFormat="1" ht="10.5" customHeight="1">
      <c r="A36" s="19"/>
      <c r="B36" s="3"/>
      <c r="C36" s="83" t="s">
        <v>87</v>
      </c>
      <c r="D36" s="84">
        <v>1155455960.5</v>
      </c>
      <c r="E36" s="84">
        <v>1109300368.07</v>
      </c>
      <c r="F36" s="84">
        <v>0</v>
      </c>
      <c r="G36" s="84">
        <f t="shared" si="4"/>
        <v>46155592.43000007</v>
      </c>
      <c r="H36" s="28">
        <f t="shared" si="3"/>
        <v>0.9600542175488651</v>
      </c>
    </row>
    <row r="37" spans="1:8" s="77" customFormat="1" ht="10.5" customHeight="1">
      <c r="A37" s="19"/>
      <c r="B37" s="3"/>
      <c r="C37" s="83" t="s">
        <v>104</v>
      </c>
      <c r="D37" s="100">
        <v>676768355.63</v>
      </c>
      <c r="E37" s="100">
        <v>676768355.63</v>
      </c>
      <c r="F37" s="100">
        <v>0</v>
      </c>
      <c r="G37" s="100">
        <f>D37-E37-F37</f>
        <v>0</v>
      </c>
      <c r="H37" s="31">
        <f>(E37+F37)/D37</f>
        <v>1</v>
      </c>
    </row>
    <row r="38" spans="1:11" s="25" customFormat="1" ht="15" customHeight="1">
      <c r="A38" s="19"/>
      <c r="B38" s="3"/>
      <c r="C38" s="21" t="s">
        <v>89</v>
      </c>
      <c r="D38" s="22">
        <f>SUM(D30:D37)</f>
        <v>13211842684.550001</v>
      </c>
      <c r="E38" s="22">
        <f>SUM(E30:E37)</f>
        <v>10344115248.18</v>
      </c>
      <c r="F38" s="22">
        <f>SUM(F30:F37)</f>
        <v>1801790405.14</v>
      </c>
      <c r="G38" s="22">
        <f>SUM(G30:G37)</f>
        <v>1065937031.2300004</v>
      </c>
      <c r="H38" s="85">
        <f t="shared" si="3"/>
        <v>0.9193195789050294</v>
      </c>
      <c r="I38" s="77"/>
      <c r="J38" s="77"/>
      <c r="K38" s="77"/>
    </row>
    <row r="39" spans="1:8" s="77" customFormat="1" ht="10.5" customHeight="1">
      <c r="A39" s="19">
        <v>6</v>
      </c>
      <c r="B39" s="3" t="s">
        <v>96</v>
      </c>
      <c r="C39" s="83" t="s">
        <v>82</v>
      </c>
      <c r="D39" s="84">
        <v>195221130.76</v>
      </c>
      <c r="E39" s="84">
        <v>171708491.07</v>
      </c>
      <c r="F39" s="84">
        <v>0</v>
      </c>
      <c r="G39" s="84">
        <f aca="true" t="shared" si="5" ref="G39:G44">D39-E39-F39</f>
        <v>23512639.689999998</v>
      </c>
      <c r="H39" s="28">
        <f>(E39+F39)/D39</f>
        <v>0.8795589411941996</v>
      </c>
    </row>
    <row r="40" spans="1:8" s="77" customFormat="1" ht="10.5" customHeight="1">
      <c r="A40" s="19"/>
      <c r="B40" s="3"/>
      <c r="C40" s="83" t="s">
        <v>83</v>
      </c>
      <c r="D40" s="84">
        <v>106480694.62</v>
      </c>
      <c r="E40" s="84">
        <v>104528461.82</v>
      </c>
      <c r="F40" s="84">
        <v>1727255.98</v>
      </c>
      <c r="G40" s="84">
        <f t="shared" si="5"/>
        <v>224976.82000001194</v>
      </c>
      <c r="H40" s="28">
        <f>(E40+F40)/D40</f>
        <v>0.9978871585990035</v>
      </c>
    </row>
    <row r="41" spans="1:8" s="77" customFormat="1" ht="10.5" customHeight="1">
      <c r="A41" s="19"/>
      <c r="B41" s="3"/>
      <c r="C41" s="83" t="s">
        <v>84</v>
      </c>
      <c r="D41" s="84">
        <v>48407139.87</v>
      </c>
      <c r="E41" s="84">
        <v>43744778.72</v>
      </c>
      <c r="F41" s="84">
        <v>6435931.72</v>
      </c>
      <c r="G41" s="84">
        <f t="shared" si="5"/>
        <v>-1773570.5700000012</v>
      </c>
      <c r="H41" s="28">
        <f>(E41+F41)/D41</f>
        <v>1.0366386151869955</v>
      </c>
    </row>
    <row r="42" spans="1:8" s="77" customFormat="1" ht="10.5" customHeight="1">
      <c r="A42" s="19"/>
      <c r="B42" s="3"/>
      <c r="C42" s="83" t="s">
        <v>86</v>
      </c>
      <c r="D42" s="84">
        <v>66777023.52</v>
      </c>
      <c r="E42" s="84">
        <v>43893662.44</v>
      </c>
      <c r="F42" s="84">
        <v>19187858.47</v>
      </c>
      <c r="G42" s="84">
        <f t="shared" si="5"/>
        <v>3695502.610000007</v>
      </c>
      <c r="H42" s="28">
        <f>(E42+F42)/D42</f>
        <v>0.9446590696140689</v>
      </c>
    </row>
    <row r="43" spans="1:8" s="77" customFormat="1" ht="10.5" customHeight="1">
      <c r="A43" s="19"/>
      <c r="B43" s="3"/>
      <c r="C43" s="83" t="s">
        <v>87</v>
      </c>
      <c r="D43" s="84">
        <v>25659511.23</v>
      </c>
      <c r="E43" s="84">
        <v>24678769.56</v>
      </c>
      <c r="F43" s="84">
        <v>0</v>
      </c>
      <c r="G43" s="84">
        <f t="shared" si="5"/>
        <v>980741.6700000018</v>
      </c>
      <c r="H43" s="28">
        <f>(E43+F43)/D43</f>
        <v>0.9617786301068213</v>
      </c>
    </row>
    <row r="44" spans="1:8" s="77" customFormat="1" ht="10.5" customHeight="1">
      <c r="A44" s="19"/>
      <c r="B44" s="3"/>
      <c r="C44" s="83" t="s">
        <v>88</v>
      </c>
      <c r="D44" s="100">
        <v>0</v>
      </c>
      <c r="E44" s="100">
        <v>0</v>
      </c>
      <c r="F44" s="100">
        <v>0</v>
      </c>
      <c r="G44" s="100">
        <f t="shared" si="5"/>
        <v>0</v>
      </c>
      <c r="H44" s="31">
        <v>0</v>
      </c>
    </row>
    <row r="45" spans="1:11" s="25" customFormat="1" ht="15" customHeight="1">
      <c r="A45" s="19"/>
      <c r="B45" s="3"/>
      <c r="C45" s="21" t="s">
        <v>89</v>
      </c>
      <c r="D45" s="22">
        <f>SUM(D39:D44)</f>
        <v>442545500</v>
      </c>
      <c r="E45" s="22">
        <f>SUM(E39:E44)</f>
        <v>388554163.61</v>
      </c>
      <c r="F45" s="22">
        <f>SUM(F39:F44)</f>
        <v>27351046.169999998</v>
      </c>
      <c r="G45" s="22">
        <f>SUM(G39:G44)</f>
        <v>26640290.220000017</v>
      </c>
      <c r="H45" s="85">
        <f aca="true" t="shared" si="6" ref="H45:H52">(E45+F45)/D45</f>
        <v>0.939802144141111</v>
      </c>
      <c r="I45" s="77"/>
      <c r="J45" s="77"/>
      <c r="K45" s="77"/>
    </row>
    <row r="46" spans="1:8" s="77" customFormat="1" ht="18.75">
      <c r="A46" s="19">
        <v>7</v>
      </c>
      <c r="B46" s="3" t="s">
        <v>97</v>
      </c>
      <c r="C46" s="83" t="s">
        <v>82</v>
      </c>
      <c r="D46" s="84">
        <v>1392219361.43</v>
      </c>
      <c r="E46" s="84">
        <v>1470331505.78</v>
      </c>
      <c r="F46" s="84">
        <v>0</v>
      </c>
      <c r="G46" s="84">
        <f aca="true" t="shared" si="7" ref="G46:G51">D46-E46-F46</f>
        <v>-78112144.3499999</v>
      </c>
      <c r="H46" s="28">
        <f t="shared" si="6"/>
        <v>1.056106204606843</v>
      </c>
    </row>
    <row r="47" spans="1:8" s="77" customFormat="1" ht="10.5" customHeight="1">
      <c r="A47" s="19"/>
      <c r="B47" s="3"/>
      <c r="C47" s="83" t="s">
        <v>83</v>
      </c>
      <c r="D47" s="84">
        <v>510232223.81</v>
      </c>
      <c r="E47" s="84">
        <v>599679376</v>
      </c>
      <c r="F47" s="84">
        <v>6484483.31</v>
      </c>
      <c r="G47" s="84">
        <f t="shared" si="7"/>
        <v>-95931635.5</v>
      </c>
      <c r="H47" s="28">
        <f t="shared" si="6"/>
        <v>1.1880156348880915</v>
      </c>
    </row>
    <row r="48" spans="1:8" s="77" customFormat="1" ht="10.5" customHeight="1">
      <c r="A48" s="19"/>
      <c r="B48" s="3"/>
      <c r="C48" s="83" t="s">
        <v>84</v>
      </c>
      <c r="D48" s="84">
        <v>20904784.13</v>
      </c>
      <c r="E48" s="84">
        <v>14753268.77</v>
      </c>
      <c r="F48" s="84">
        <v>895672.16</v>
      </c>
      <c r="G48" s="84">
        <f t="shared" si="7"/>
        <v>5255843.199999999</v>
      </c>
      <c r="H48" s="28">
        <f t="shared" si="6"/>
        <v>0.7485817998733862</v>
      </c>
    </row>
    <row r="49" spans="1:8" s="77" customFormat="1" ht="10.5" customHeight="1">
      <c r="A49" s="19"/>
      <c r="B49" s="3"/>
      <c r="C49" s="83" t="s">
        <v>85</v>
      </c>
      <c r="D49" s="84">
        <v>29940.96</v>
      </c>
      <c r="E49" s="84">
        <v>29940.96</v>
      </c>
      <c r="F49" s="84">
        <v>0</v>
      </c>
      <c r="G49" s="84">
        <f t="shared" si="7"/>
        <v>0</v>
      </c>
      <c r="H49" s="28">
        <f t="shared" si="6"/>
        <v>1</v>
      </c>
    </row>
    <row r="50" spans="1:8" s="77" customFormat="1" ht="10.5" customHeight="1">
      <c r="A50" s="19"/>
      <c r="B50" s="3"/>
      <c r="C50" s="83" t="s">
        <v>86</v>
      </c>
      <c r="D50" s="84">
        <v>59315412.09</v>
      </c>
      <c r="E50" s="84">
        <v>22041169.08</v>
      </c>
      <c r="F50" s="84">
        <v>13654564.7</v>
      </c>
      <c r="G50" s="84">
        <f t="shared" si="7"/>
        <v>23619678.310000006</v>
      </c>
      <c r="H50" s="28">
        <f t="shared" si="6"/>
        <v>0.6017952589765106</v>
      </c>
    </row>
    <row r="51" spans="1:8" s="77" customFormat="1" ht="10.5" customHeight="1">
      <c r="A51" s="19"/>
      <c r="B51" s="3"/>
      <c r="C51" s="83" t="s">
        <v>87</v>
      </c>
      <c r="D51" s="100">
        <v>97298277.58</v>
      </c>
      <c r="E51" s="100">
        <v>93205955.79</v>
      </c>
      <c r="F51" s="100">
        <v>0</v>
      </c>
      <c r="G51" s="100">
        <f t="shared" si="7"/>
        <v>4092321.7899999917</v>
      </c>
      <c r="H51" s="31">
        <f t="shared" si="6"/>
        <v>0.9579404498025649</v>
      </c>
    </row>
    <row r="52" spans="1:11" s="25" customFormat="1" ht="15" customHeight="1">
      <c r="A52" s="19"/>
      <c r="B52" s="3"/>
      <c r="C52" s="21" t="s">
        <v>89</v>
      </c>
      <c r="D52" s="22">
        <f>SUM(D46:D51)</f>
        <v>2080000000</v>
      </c>
      <c r="E52" s="22">
        <f>SUM(E46:E51)</f>
        <v>2200041216.38</v>
      </c>
      <c r="F52" s="22">
        <f>SUM(F46:F51)</f>
        <v>21034720.169999998</v>
      </c>
      <c r="G52" s="22">
        <f>SUM(G46:G51)</f>
        <v>-141075936.54999992</v>
      </c>
      <c r="H52" s="85">
        <f t="shared" si="6"/>
        <v>1.0678249694951925</v>
      </c>
      <c r="I52" s="77"/>
      <c r="J52" s="77"/>
      <c r="K52" s="77"/>
    </row>
    <row r="53" spans="1:8" s="77" customFormat="1" ht="18" customHeight="1">
      <c r="A53" s="19">
        <v>8</v>
      </c>
      <c r="B53" s="3" t="s">
        <v>98</v>
      </c>
      <c r="C53" s="83" t="s">
        <v>82</v>
      </c>
      <c r="D53" s="84">
        <v>312294355.76</v>
      </c>
      <c r="E53" s="84">
        <v>317702486.94</v>
      </c>
      <c r="F53" s="84">
        <v>0</v>
      </c>
      <c r="G53" s="84">
        <f aca="true" t="shared" si="8" ref="G53:G59">D53-E53-F53</f>
        <v>-5408131.180000007</v>
      </c>
      <c r="H53" s="28">
        <f>(F53+E53)/D53</f>
        <v>1.0173174157017304</v>
      </c>
    </row>
    <row r="54" spans="1:8" s="77" customFormat="1" ht="9.75" customHeight="1">
      <c r="A54" s="19"/>
      <c r="B54" s="3"/>
      <c r="C54" s="83" t="s">
        <v>83</v>
      </c>
      <c r="D54" s="84">
        <v>625533413.49</v>
      </c>
      <c r="E54" s="84">
        <v>338328364.38</v>
      </c>
      <c r="F54" s="84">
        <v>79283236.41</v>
      </c>
      <c r="G54" s="84">
        <f t="shared" si="8"/>
        <v>207921812.70000002</v>
      </c>
      <c r="H54" s="28">
        <f>(F54+E54)/D54</f>
        <v>0.6676087828147266</v>
      </c>
    </row>
    <row r="55" spans="1:8" s="77" customFormat="1" ht="9.75" customHeight="1">
      <c r="A55" s="19"/>
      <c r="B55" s="3"/>
      <c r="C55" s="83" t="s">
        <v>84</v>
      </c>
      <c r="D55" s="84">
        <v>266755219.84</v>
      </c>
      <c r="E55" s="84">
        <v>124977314.36</v>
      </c>
      <c r="F55" s="84">
        <v>32942579.3</v>
      </c>
      <c r="G55" s="84">
        <f t="shared" si="8"/>
        <v>108835326.18000002</v>
      </c>
      <c r="H55" s="28">
        <f>(F55+E55)/D55</f>
        <v>0.5920030121799321</v>
      </c>
    </row>
    <row r="56" spans="1:8" s="77" customFormat="1" ht="9.75" customHeight="1">
      <c r="A56" s="19"/>
      <c r="B56" s="3"/>
      <c r="C56" s="83" t="s">
        <v>85</v>
      </c>
      <c r="D56" s="84">
        <v>152</v>
      </c>
      <c r="E56" s="84">
        <v>151.74</v>
      </c>
      <c r="F56" s="84">
        <v>0</v>
      </c>
      <c r="G56" s="84">
        <f t="shared" si="8"/>
        <v>0.2599999999999909</v>
      </c>
      <c r="H56" s="28">
        <f>(E56+F56)/D56</f>
        <v>0.9982894736842106</v>
      </c>
    </row>
    <row r="57" spans="1:8" s="77" customFormat="1" ht="9.75" customHeight="1">
      <c r="A57" s="19"/>
      <c r="B57" s="3"/>
      <c r="C57" s="83" t="s">
        <v>94</v>
      </c>
      <c r="D57" s="84">
        <v>2972000000</v>
      </c>
      <c r="E57" s="84">
        <v>2972000000</v>
      </c>
      <c r="F57" s="84">
        <v>0</v>
      </c>
      <c r="G57" s="84">
        <f t="shared" si="8"/>
        <v>0</v>
      </c>
      <c r="H57" s="28">
        <f>(E57+F57)/D57</f>
        <v>1</v>
      </c>
    </row>
    <row r="58" spans="1:8" s="77" customFormat="1" ht="9.75" customHeight="1">
      <c r="A58" s="19"/>
      <c r="B58" s="3"/>
      <c r="C58" s="83" t="s">
        <v>86</v>
      </c>
      <c r="D58" s="84">
        <v>2040944667.96</v>
      </c>
      <c r="E58" s="84">
        <v>816562790.71</v>
      </c>
      <c r="F58" s="84">
        <v>641317255.96</v>
      </c>
      <c r="G58" s="84">
        <f t="shared" si="8"/>
        <v>583064621.29</v>
      </c>
      <c r="H58" s="28">
        <f>(F58+E58)/D58</f>
        <v>0.7143163014444704</v>
      </c>
    </row>
    <row r="59" spans="1:8" s="77" customFormat="1" ht="9.75" customHeight="1">
      <c r="A59" s="19"/>
      <c r="B59" s="3"/>
      <c r="C59" s="83" t="s">
        <v>87</v>
      </c>
      <c r="D59" s="100">
        <v>288652645.95</v>
      </c>
      <c r="E59" s="100">
        <v>247444170.07</v>
      </c>
      <c r="F59" s="100">
        <v>0</v>
      </c>
      <c r="G59" s="100">
        <f t="shared" si="8"/>
        <v>41208475.879999995</v>
      </c>
      <c r="H59" s="31">
        <f>(F59+E59)/D59</f>
        <v>0.857238530606998</v>
      </c>
    </row>
    <row r="60" spans="1:11" s="25" customFormat="1" ht="15" customHeight="1">
      <c r="A60" s="19"/>
      <c r="B60" s="3"/>
      <c r="C60" s="21" t="s">
        <v>89</v>
      </c>
      <c r="D60" s="22">
        <f>SUM(D53:D59)</f>
        <v>6506180455</v>
      </c>
      <c r="E60" s="22">
        <f>SUM(E53:E59)</f>
        <v>4817015278.2</v>
      </c>
      <c r="F60" s="22">
        <f>SUM(F53:F59)</f>
        <v>753543071.6700001</v>
      </c>
      <c r="G60" s="22">
        <f>SUM(G53:G59)</f>
        <v>935622105.13</v>
      </c>
      <c r="H60" s="85">
        <f aca="true" t="shared" si="9" ref="H60:H65">(E60+F60)/D60</f>
        <v>0.8561948732284278</v>
      </c>
      <c r="I60" s="77"/>
      <c r="J60" s="77"/>
      <c r="K60" s="77"/>
    </row>
    <row r="61" spans="1:8" s="77" customFormat="1" ht="18.75">
      <c r="A61" s="19">
        <v>9</v>
      </c>
      <c r="B61" s="3" t="s">
        <v>99</v>
      </c>
      <c r="C61" s="83" t="s">
        <v>82</v>
      </c>
      <c r="D61" s="84">
        <v>1628692329.79</v>
      </c>
      <c r="E61" s="84">
        <v>1500125453.5</v>
      </c>
      <c r="F61" s="84">
        <v>0</v>
      </c>
      <c r="G61" s="84">
        <f>D61-E61-F61</f>
        <v>128566876.28999996</v>
      </c>
      <c r="H61" s="28">
        <f t="shared" si="9"/>
        <v>0.9210612870593078</v>
      </c>
    </row>
    <row r="62" spans="1:8" s="77" customFormat="1" ht="9.75" customHeight="1">
      <c r="A62" s="19"/>
      <c r="B62" s="3"/>
      <c r="C62" s="83" t="s">
        <v>83</v>
      </c>
      <c r="D62" s="84">
        <v>1209269300.93</v>
      </c>
      <c r="E62" s="84">
        <v>321982904.92</v>
      </c>
      <c r="F62" s="84">
        <v>41284965.4</v>
      </c>
      <c r="G62" s="84">
        <f>D62-E62-F62</f>
        <v>846001430.61</v>
      </c>
      <c r="H62" s="28">
        <f t="shared" si="9"/>
        <v>0.3004027887259069</v>
      </c>
    </row>
    <row r="63" spans="1:8" s="77" customFormat="1" ht="9.75" customHeight="1">
      <c r="A63" s="19"/>
      <c r="B63" s="3"/>
      <c r="C63" s="83" t="s">
        <v>84</v>
      </c>
      <c r="D63" s="84">
        <v>137156417.77</v>
      </c>
      <c r="E63" s="84">
        <v>71881635.7</v>
      </c>
      <c r="F63" s="84">
        <v>10439670.3</v>
      </c>
      <c r="G63" s="84">
        <f>D63-E63-F63</f>
        <v>54835111.77000001</v>
      </c>
      <c r="H63" s="28">
        <f t="shared" si="9"/>
        <v>0.6002001753796605</v>
      </c>
    </row>
    <row r="64" spans="1:8" s="77" customFormat="1" ht="9.75" customHeight="1">
      <c r="A64" s="19"/>
      <c r="B64" s="3"/>
      <c r="C64" s="83" t="s">
        <v>86</v>
      </c>
      <c r="D64" s="84">
        <v>2519082593.81</v>
      </c>
      <c r="E64" s="84">
        <v>437647532.03</v>
      </c>
      <c r="F64" s="84">
        <v>493814087.67</v>
      </c>
      <c r="G64" s="84">
        <f>D64-E64-F64</f>
        <v>1587620974.11</v>
      </c>
      <c r="H64" s="28">
        <f t="shared" si="9"/>
        <v>0.36976223883600656</v>
      </c>
    </row>
    <row r="65" spans="1:8" s="77" customFormat="1" ht="9.75" customHeight="1">
      <c r="A65" s="19"/>
      <c r="B65" s="3"/>
      <c r="C65" s="83" t="s">
        <v>87</v>
      </c>
      <c r="D65" s="100">
        <v>679522016.87</v>
      </c>
      <c r="E65" s="100">
        <v>572603694.46</v>
      </c>
      <c r="F65" s="100">
        <v>0</v>
      </c>
      <c r="G65" s="100">
        <f>D65-E65-F65</f>
        <v>106918322.40999997</v>
      </c>
      <c r="H65" s="31">
        <f t="shared" si="9"/>
        <v>0.8426565736567523</v>
      </c>
    </row>
    <row r="66" spans="1:11" s="25" customFormat="1" ht="15" customHeight="1">
      <c r="A66" s="19"/>
      <c r="B66" s="3"/>
      <c r="C66" s="21" t="s">
        <v>89</v>
      </c>
      <c r="D66" s="22">
        <f>SUM(D61:D65)</f>
        <v>6173722659.17</v>
      </c>
      <c r="E66" s="22">
        <f>SUM(E61:E65)</f>
        <v>2904241220.61</v>
      </c>
      <c r="F66" s="22">
        <f>SUM(F61:F65)</f>
        <v>545538723.37</v>
      </c>
      <c r="G66" s="22">
        <f>SUM(G61:G65)</f>
        <v>2723942715.1899996</v>
      </c>
      <c r="H66" s="85">
        <f>(E66+F66)/D66</f>
        <v>0.5587844052009604</v>
      </c>
      <c r="I66" s="77"/>
      <c r="J66" s="77"/>
      <c r="K66" s="77"/>
    </row>
    <row r="67" spans="1:8" s="77" customFormat="1" ht="24" customHeight="1">
      <c r="A67" s="19">
        <v>11</v>
      </c>
      <c r="B67" s="3" t="s">
        <v>105</v>
      </c>
      <c r="C67" s="83" t="s">
        <v>83</v>
      </c>
      <c r="D67" s="84">
        <v>81901740.43</v>
      </c>
      <c r="E67" s="84">
        <v>5198118.55</v>
      </c>
      <c r="F67" s="84">
        <v>388235.31</v>
      </c>
      <c r="G67" s="84">
        <f>D67-E67-F67</f>
        <v>76315386.57000001</v>
      </c>
      <c r="H67" s="28">
        <f>(E67+F67)/D67</f>
        <v>0.06820799937425699</v>
      </c>
    </row>
    <row r="68" spans="1:8" s="77" customFormat="1" ht="9">
      <c r="A68" s="19"/>
      <c r="B68" s="3"/>
      <c r="C68" s="83" t="s">
        <v>84</v>
      </c>
      <c r="D68" s="84">
        <v>65985591.3</v>
      </c>
      <c r="E68" s="84">
        <v>5970648</v>
      </c>
      <c r="F68" s="84">
        <v>2808008.04</v>
      </c>
      <c r="G68" s="84">
        <f>D68-E68-F68</f>
        <v>57206935.26</v>
      </c>
      <c r="H68" s="28">
        <f>(E68+F68)/D68</f>
        <v>0.13303898422442414</v>
      </c>
    </row>
    <row r="69" spans="1:8" s="77" customFormat="1" ht="9">
      <c r="A69" s="19"/>
      <c r="B69" s="3"/>
      <c r="C69" s="83" t="s">
        <v>86</v>
      </c>
      <c r="D69" s="84">
        <v>1026635172.87</v>
      </c>
      <c r="E69" s="84">
        <v>248704410.72</v>
      </c>
      <c r="F69" s="84">
        <v>352104228.57</v>
      </c>
      <c r="G69" s="84">
        <f>D69-E69-F69</f>
        <v>425826533.58</v>
      </c>
      <c r="H69" s="28">
        <f>(E69+F69)/D69</f>
        <v>0.585221172201236</v>
      </c>
    </row>
    <row r="70" spans="1:8" s="77" customFormat="1" ht="9">
      <c r="A70" s="19"/>
      <c r="B70" s="3"/>
      <c r="C70" s="83" t="s">
        <v>87</v>
      </c>
      <c r="D70" s="84">
        <v>2917587.88</v>
      </c>
      <c r="E70" s="84">
        <v>0</v>
      </c>
      <c r="F70" s="84">
        <v>0</v>
      </c>
      <c r="G70" s="84">
        <f>D70-E70-F70</f>
        <v>2917587.88</v>
      </c>
      <c r="H70" s="28">
        <f>(E70+F70)/D70</f>
        <v>0</v>
      </c>
    </row>
    <row r="71" spans="1:11" s="25" customFormat="1" ht="15" customHeight="1">
      <c r="A71" s="19"/>
      <c r="B71" s="3"/>
      <c r="C71" s="21" t="s">
        <v>89</v>
      </c>
      <c r="D71" s="22">
        <f>SUM(D67:D70)</f>
        <v>1177440092.48</v>
      </c>
      <c r="E71" s="22">
        <f>SUM(E67:E70)</f>
        <v>259873177.27</v>
      </c>
      <c r="F71" s="22">
        <f>SUM(F67:F70)</f>
        <v>355300471.92</v>
      </c>
      <c r="G71" s="22">
        <f>SUM(G67:G70)</f>
        <v>562266443.29</v>
      </c>
      <c r="H71" s="85">
        <f>(E71+F71)/D71</f>
        <v>0.5224670478939457</v>
      </c>
      <c r="I71" s="77"/>
      <c r="J71" s="77"/>
      <c r="K71" s="77"/>
    </row>
    <row r="72" spans="1:11" s="87" customFormat="1" ht="15" customHeight="1">
      <c r="A72" s="12"/>
      <c r="B72" s="44"/>
      <c r="C72" s="12" t="s">
        <v>100</v>
      </c>
      <c r="D72" s="86">
        <f>D14+D21+D27+D29+D38+D45+D52+D60+D66+D71</f>
        <v>340511837280.0099</v>
      </c>
      <c r="E72" s="86">
        <f>E14+E21+E27+E29+E38+E45+E52+E60+E66+E71</f>
        <v>305605585659.06</v>
      </c>
      <c r="F72" s="86">
        <f>F14+F21+F27+F29+F38+F45+F52+F60+F66+F71</f>
        <v>14444895535.22</v>
      </c>
      <c r="G72" s="86">
        <f>G14+G21+G27+G29+G38+G45+G52+G60+G66+G71</f>
        <v>20461356085.730003</v>
      </c>
      <c r="H72" s="18">
        <f>(E72+F72)/D72</f>
        <v>0.9399100006355898</v>
      </c>
      <c r="I72" s="77"/>
      <c r="J72" s="77"/>
      <c r="K72" s="77"/>
    </row>
    <row r="73" spans="9:11" ht="9">
      <c r="I73" s="75"/>
      <c r="J73" s="75"/>
      <c r="K73" s="75"/>
    </row>
    <row r="74" spans="9:11" ht="9">
      <c r="I74" s="75"/>
      <c r="J74" s="75"/>
      <c r="K74" s="75"/>
    </row>
    <row r="75" spans="9:11" ht="9">
      <c r="I75" s="75"/>
      <c r="J75" s="75"/>
      <c r="K75" s="75"/>
    </row>
    <row r="76" spans="9:11" ht="9">
      <c r="I76" s="75"/>
      <c r="J76" s="75"/>
      <c r="K76" s="75"/>
    </row>
    <row r="77" spans="9:11" ht="9">
      <c r="I77" s="75"/>
      <c r="J77" s="75"/>
      <c r="K77" s="75"/>
    </row>
    <row r="78" spans="9:11" ht="9">
      <c r="I78" s="75"/>
      <c r="J78" s="75"/>
      <c r="K78" s="75"/>
    </row>
    <row r="79" spans="9:11" ht="9">
      <c r="I79" s="75"/>
      <c r="J79" s="75"/>
      <c r="K79" s="75"/>
    </row>
    <row r="80" spans="9:11" ht="9">
      <c r="I80" s="75"/>
      <c r="J80" s="75"/>
      <c r="K80" s="75"/>
    </row>
    <row r="81" spans="9:11" ht="9">
      <c r="I81" s="75"/>
      <c r="J81" s="75"/>
      <c r="K81" s="75"/>
    </row>
    <row r="82" spans="9:11" ht="9">
      <c r="I82" s="75"/>
      <c r="J82" s="75"/>
      <c r="K82" s="75"/>
    </row>
    <row r="83" spans="9:11" ht="9">
      <c r="I83" s="75"/>
      <c r="J83" s="75"/>
      <c r="K83" s="75"/>
    </row>
    <row r="84" spans="9:11" ht="9">
      <c r="I84" s="75"/>
      <c r="J84" s="75"/>
      <c r="K84" s="75"/>
    </row>
    <row r="85" spans="9:11" ht="9">
      <c r="I85" s="75"/>
      <c r="J85" s="75"/>
      <c r="K85" s="75"/>
    </row>
    <row r="86" spans="9:11" ht="9">
      <c r="I86" s="75"/>
      <c r="J86" s="75"/>
      <c r="K86" s="75"/>
    </row>
  </sheetData>
  <sheetProtection/>
  <mergeCells count="5">
    <mergeCell ref="A1:H1"/>
    <mergeCell ref="A2:H2"/>
    <mergeCell ref="A3:H3"/>
    <mergeCell ref="A5:H5"/>
    <mergeCell ref="A6:B6"/>
  </mergeCells>
  <printOptions/>
  <pageMargins left="0.4724409448818898" right="0.11811023622047245" top="0.7480314960629921" bottom="0.7480314960629921" header="0.31496062992125984" footer="0.31496062992125984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8.8515625" style="39" bestFit="1" customWidth="1"/>
    <col min="2" max="2" width="23.7109375" style="39" bestFit="1" customWidth="1"/>
    <col min="3" max="4" width="17.28125" style="39" bestFit="1" customWidth="1"/>
    <col min="5" max="6" width="16.28125" style="39" bestFit="1" customWidth="1"/>
    <col min="7" max="7" width="12.421875" style="39" bestFit="1" customWidth="1"/>
    <col min="8" max="16384" width="11.421875" style="39" customWidth="1"/>
  </cols>
  <sheetData>
    <row r="1" spans="1:8" ht="12.75">
      <c r="A1" s="37" t="s">
        <v>0</v>
      </c>
      <c r="B1" s="37"/>
      <c r="C1" s="37"/>
      <c r="D1" s="37"/>
      <c r="E1" s="37"/>
      <c r="F1" s="37"/>
      <c r="G1" s="37"/>
      <c r="H1" s="38"/>
    </row>
    <row r="2" spans="1:8" ht="12.75">
      <c r="A2" s="37" t="s">
        <v>1</v>
      </c>
      <c r="B2" s="37"/>
      <c r="C2" s="37"/>
      <c r="D2" s="37"/>
      <c r="E2" s="37"/>
      <c r="F2" s="37"/>
      <c r="G2" s="37"/>
      <c r="H2" s="38"/>
    </row>
    <row r="3" spans="1:8" ht="12.75">
      <c r="A3" s="37" t="s">
        <v>2</v>
      </c>
      <c r="B3" s="37"/>
      <c r="C3" s="37"/>
      <c r="D3" s="37"/>
      <c r="E3" s="37"/>
      <c r="F3" s="37"/>
      <c r="G3" s="37"/>
      <c r="H3" s="38"/>
    </row>
    <row r="5" spans="1:7" s="88" customFormat="1" ht="15">
      <c r="A5" s="40" t="s">
        <v>103</v>
      </c>
      <c r="B5" s="41"/>
      <c r="C5" s="41"/>
      <c r="D5" s="41"/>
      <c r="E5" s="41"/>
      <c r="F5" s="41"/>
      <c r="G5" s="42"/>
    </row>
    <row r="6" spans="1:7" ht="20.25">
      <c r="A6" s="89" t="s">
        <v>101</v>
      </c>
      <c r="B6" s="90" t="s">
        <v>41</v>
      </c>
      <c r="C6" s="90" t="s">
        <v>42</v>
      </c>
      <c r="D6" s="90" t="s">
        <v>77</v>
      </c>
      <c r="E6" s="90" t="s">
        <v>78</v>
      </c>
      <c r="F6" s="90" t="s">
        <v>79</v>
      </c>
      <c r="G6" s="91" t="s">
        <v>80</v>
      </c>
    </row>
    <row r="7" spans="1:8" s="47" customFormat="1" ht="13.5" customHeight="1">
      <c r="A7" s="48">
        <v>0</v>
      </c>
      <c r="B7" s="49" t="s">
        <v>82</v>
      </c>
      <c r="C7" s="50">
        <v>206985208650.85</v>
      </c>
      <c r="D7" s="50">
        <v>205509287846.9</v>
      </c>
      <c r="E7" s="50">
        <v>0</v>
      </c>
      <c r="F7" s="50">
        <f>C7-(D7+E7)</f>
        <v>1475920803.9500122</v>
      </c>
      <c r="G7" s="51">
        <f>(D7+E7)/C7</f>
        <v>0.9928694382870631</v>
      </c>
      <c r="H7" s="92"/>
    </row>
    <row r="8" spans="1:9" s="47" customFormat="1" ht="13.5" customHeight="1">
      <c r="A8" s="56">
        <v>1</v>
      </c>
      <c r="B8" s="101" t="s">
        <v>83</v>
      </c>
      <c r="C8" s="102">
        <v>22773332016.85</v>
      </c>
      <c r="D8" s="102">
        <v>17281285599.08</v>
      </c>
      <c r="E8" s="102">
        <v>2122153927.71</v>
      </c>
      <c r="F8" s="102">
        <f aca="true" t="shared" si="0" ref="F8:F14">C8-(D8+E8)</f>
        <v>3369892490.0599976</v>
      </c>
      <c r="G8" s="55">
        <f>(D8+E8)/C8</f>
        <v>0.8520246186387388</v>
      </c>
      <c r="H8" s="92"/>
      <c r="I8" s="93"/>
    </row>
    <row r="9" spans="1:9" s="47" customFormat="1" ht="13.5" customHeight="1">
      <c r="A9" s="56">
        <v>2</v>
      </c>
      <c r="B9" s="101" t="s">
        <v>84</v>
      </c>
      <c r="C9" s="102">
        <v>6527537361</v>
      </c>
      <c r="D9" s="102">
        <v>4733851657.7</v>
      </c>
      <c r="E9" s="102">
        <v>940652300.35</v>
      </c>
      <c r="F9" s="102">
        <f t="shared" si="0"/>
        <v>853033402.9499998</v>
      </c>
      <c r="G9" s="55">
        <f aca="true" t="shared" si="1" ref="G9:G14">(D9+E9)/C9</f>
        <v>0.8693177295243673</v>
      </c>
      <c r="H9" s="92"/>
      <c r="I9" s="93"/>
    </row>
    <row r="10" spans="1:9" s="47" customFormat="1" ht="13.5" customHeight="1">
      <c r="A10" s="56">
        <v>3</v>
      </c>
      <c r="B10" s="101" t="s">
        <v>85</v>
      </c>
      <c r="C10" s="102">
        <v>4145642953.91</v>
      </c>
      <c r="D10" s="102">
        <v>4143004787.52</v>
      </c>
      <c r="E10" s="102">
        <v>0</v>
      </c>
      <c r="F10" s="102">
        <f t="shared" si="0"/>
        <v>2638166.3899998665</v>
      </c>
      <c r="G10" s="55">
        <f t="shared" si="1"/>
        <v>0.9993636291356177</v>
      </c>
      <c r="H10" s="92"/>
      <c r="I10" s="93"/>
    </row>
    <row r="11" spans="1:9" s="47" customFormat="1" ht="13.5" customHeight="1">
      <c r="A11" s="56">
        <v>4</v>
      </c>
      <c r="B11" s="101" t="s">
        <v>94</v>
      </c>
      <c r="C11" s="102">
        <v>5419261775.82</v>
      </c>
      <c r="D11" s="102">
        <v>5416511775.82</v>
      </c>
      <c r="E11" s="102">
        <v>0</v>
      </c>
      <c r="F11" s="102">
        <f>C11-(D11+E11)</f>
        <v>2750000</v>
      </c>
      <c r="G11" s="55">
        <f>(D11+E11)/C11</f>
        <v>0.9994925508097302</v>
      </c>
      <c r="H11" s="92"/>
      <c r="I11" s="93"/>
    </row>
    <row r="12" spans="1:9" s="47" customFormat="1" ht="13.5" customHeight="1">
      <c r="A12" s="56">
        <v>5</v>
      </c>
      <c r="B12" s="101" t="s">
        <v>86</v>
      </c>
      <c r="C12" s="102">
        <v>37222026863.65</v>
      </c>
      <c r="D12" s="102">
        <v>13459843406.58</v>
      </c>
      <c r="E12" s="102">
        <v>11207866377.29</v>
      </c>
      <c r="F12" s="102">
        <f t="shared" si="0"/>
        <v>12554317079.779999</v>
      </c>
      <c r="G12" s="55">
        <f t="shared" si="1"/>
        <v>0.6627180694439776</v>
      </c>
      <c r="H12" s="92"/>
      <c r="I12" s="93"/>
    </row>
    <row r="13" spans="1:9" s="47" customFormat="1" ht="13.5" customHeight="1">
      <c r="A13" s="56">
        <v>6</v>
      </c>
      <c r="B13" s="101" t="s">
        <v>87</v>
      </c>
      <c r="C13" s="102">
        <v>50187920304.76</v>
      </c>
      <c r="D13" s="102">
        <v>47810893232.75</v>
      </c>
      <c r="E13" s="102">
        <v>174222929.87</v>
      </c>
      <c r="F13" s="102">
        <f t="shared" si="0"/>
        <v>2202804142.1399994</v>
      </c>
      <c r="G13" s="55">
        <f t="shared" si="1"/>
        <v>0.9561088778183328</v>
      </c>
      <c r="H13" s="92"/>
      <c r="I13" s="93"/>
    </row>
    <row r="14" spans="1:9" s="47" customFormat="1" ht="13.5" customHeight="1">
      <c r="A14" s="56">
        <v>8</v>
      </c>
      <c r="B14" s="101" t="s">
        <v>92</v>
      </c>
      <c r="C14" s="102">
        <v>7250907353.17</v>
      </c>
      <c r="D14" s="102">
        <v>7250907352.71</v>
      </c>
      <c r="E14" s="102">
        <v>0</v>
      </c>
      <c r="F14" s="102">
        <f t="shared" si="0"/>
        <v>0.46000003814697266</v>
      </c>
      <c r="G14" s="55">
        <f t="shared" si="1"/>
        <v>0.9999999999365596</v>
      </c>
      <c r="H14" s="92"/>
      <c r="I14" s="93"/>
    </row>
    <row r="15" spans="1:9" s="97" customFormat="1" ht="12.75">
      <c r="A15" s="58"/>
      <c r="B15" s="59" t="s">
        <v>100</v>
      </c>
      <c r="C15" s="94">
        <f>SUM(C7:C14)</f>
        <v>340511837280.01</v>
      </c>
      <c r="D15" s="94">
        <f>SUM(D7:D14)</f>
        <v>305605585659.06</v>
      </c>
      <c r="E15" s="94">
        <f>SUM(E7:E14)</f>
        <v>14444895535.220001</v>
      </c>
      <c r="F15" s="94">
        <f>SUM(F7:F14)</f>
        <v>20461356085.730007</v>
      </c>
      <c r="G15" s="60">
        <f>(D15+E15)/C15</f>
        <v>0.9399100006355897</v>
      </c>
      <c r="H15" s="95"/>
      <c r="I15" s="96"/>
    </row>
    <row r="16" spans="1:7" s="99" customFormat="1" ht="9.75">
      <c r="A16" s="98"/>
      <c r="B16" s="98"/>
      <c r="C16" s="98"/>
      <c r="D16" s="98"/>
      <c r="E16" s="98"/>
      <c r="F16" s="98"/>
      <c r="G16" s="98"/>
    </row>
    <row r="17" ht="9.75">
      <c r="F17" s="61"/>
    </row>
  </sheetData>
  <sheetProtection/>
  <mergeCells count="5">
    <mergeCell ref="A1:G1"/>
    <mergeCell ref="A2:G2"/>
    <mergeCell ref="A3:G3"/>
    <mergeCell ref="A5:G5"/>
    <mergeCell ref="A16:G1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Soto Arce</dc:creator>
  <cp:keywords/>
  <dc:description/>
  <cp:lastModifiedBy>Silvia Soto Arce</cp:lastModifiedBy>
  <cp:lastPrinted>2023-05-16T19:21:41Z</cp:lastPrinted>
  <dcterms:created xsi:type="dcterms:W3CDTF">2023-05-16T15:31:18Z</dcterms:created>
  <dcterms:modified xsi:type="dcterms:W3CDTF">2023-05-16T19:21:48Z</dcterms:modified>
  <cp:category/>
  <cp:version/>
  <cp:contentType/>
  <cp:contentStatus/>
</cp:coreProperties>
</file>